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Stavební rozpočet" sheetId="1" r:id="rId1"/>
    <sheet name="Stavební rozpočet - součet" sheetId="2" r:id="rId2"/>
    <sheet name="Krycí list rozpočtu" sheetId="3" r:id="rId3"/>
    <sheet name="VORN" sheetId="4" r:id="rId4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<sst xmlns="http://schemas.openxmlformats.org/spreadsheetml/2006/main" count="7574" uniqueCount="1678">
  <si>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</si>
  <si>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</si>
  <si>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</si>
  <si>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</si>
  <si>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</si>
  <si>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</si>
  <si>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</si>
  <si>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</si>
  <si>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</si>
  <si>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</si>
  <si>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</si>
  <si>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</si>
  <si>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</si>
  <si>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</si>
  <si>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</si>
  <si>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</si>
  <si>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</si>
  <si>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</si>
  <si>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</si>
  <si>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</si>
  <si>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</si>
  <si>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</si>
  <si>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</si>
  <si>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</si>
  <si>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</si>
  <si>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</si>
  <si>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</si>
  <si>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</si>
  <si>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</si>
  <si>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</si>
  <si>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</si>
  <si>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</si>
  <si>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</si>
  <si>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</si>
  <si>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</si>
  <si>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</si>
  <si>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</si>
  <si>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</si>
  <si>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</si>
  <si>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</si>
  <si>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</si>
  <si>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</si>
  <si>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</si>
  <si>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</si>
  <si>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</si>
  <si>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</si>
  <si>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</si>
  <si>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</si>
  <si>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</si>
  <si>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</si>
  <si>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</si>
  <si>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</si>
  <si>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</si>
  <si>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</si>
  <si>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</si>
  <si>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</si>
  <si>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</si>
  <si>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</si>
  <si>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</si>
  <si>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</si>
  <si>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</si>
  <si>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</si>
  <si>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</si>
  <si>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</si>
  <si>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</si>
  <si>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</si>
  <si>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</si>
  <si>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</si>
  <si>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</si>
  <si>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</si>
  <si>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</si>
  <si>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</si>
  <si>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</si>
  <si>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</si>
  <si>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</si>
  <si>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</si>
  <si>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</si>
  <si>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</si>
  <si>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</si>
  <si>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</si>
  <si>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</si>
  <si>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</si>
  <si>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</si>
  <si>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</si>
  <si>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</si>
  <si>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</si>
  <si>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</si>
  <si>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</si>
  <si>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</si>
  <si>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</si>
  <si>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</si>
  <si>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</si>
  <si>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</si>
  <si>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</si>
  <si>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</si>
  <si>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</si>
  <si>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</si>
  <si>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</si>
  <si>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</si>
  <si>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</si>
  <si>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</si>
  <si>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</si>
  <si>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</si>
  <si>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</si>
  <si>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</si>
  <si>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</si>
  <si>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</si>
  <si>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</si>
  <si>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</si>
  <si>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</si>
  <si>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</si>
  <si>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</si>
  <si>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</si>
  <si>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</si>
  <si>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</si>
  <si>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</si>
  <si>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</si>
  <si>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</si>
  <si>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</si>
  <si>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</si>
  <si>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</si>
  <si>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</si>
  <si>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</si>
  <si>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</si>
  <si>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</si>
  <si>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</si>
  <si>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</si>
  <si>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</si>
  <si>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</si>
  <si>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</si>
  <si>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</si>
  <si>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</si>
  <si>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</si>
  <si>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</si>
  <si>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</si>
  <si>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</si>
  <si>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</si>
  <si>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</si>
  <si>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</si>
  <si>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</si>
  <si>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</si>
  <si>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</si>
  <si>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</si>
  <si>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</si>
  <si>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</si>
  <si>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</si>
  <si>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</si>
  <si>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</si>
  <si>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</si>
  <si>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</si>
  <si>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</si>
  <si>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</si>
  <si>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</si>
  <si>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</si>
  <si>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</si>
  <si>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</si>
  <si>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</si>
  <si>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</si>
  <si>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</si>
  <si>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</si>
  <si>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</si>
  <si>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</si>
  <si>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</si>
  <si>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</si>
  <si>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</si>
  <si>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</si>
  <si>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</si>
  <si>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</si>
  <si>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</si>
  <si>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</si>
  <si>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</si>
  <si>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</si>
  <si>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</si>
  <si>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</si>
  <si>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</si>
  <si>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</si>
  <si>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</si>
  <si>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</si>
  <si>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</si>
  <si>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</si>
  <si>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</si>
  <si>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</si>
  <si>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</si>
  <si>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</si>
  <si>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</si>
  <si>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</si>
  <si>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</si>
  <si>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</si>
  <si>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</si>
  <si>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</si>
  <si>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</si>
  <si>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</si>
  <si>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</si>
  <si>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</si>
  <si>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</si>
  <si>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</si>
  <si>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</si>
  <si>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</si>
  <si>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</si>
  <si>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</si>
  <si>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</si>
  <si>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</si>
  <si>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</si>
  <si>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</si>
  <si>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</si>
  <si>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</si>
  <si>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</si>
  <si>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</si>
  <si>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</si>
  <si>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</si>
  <si>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</si>
  <si>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</si>
  <si>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</si>
  <si>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</si>
  <si>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</si>
  <si>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</si>
  <si>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</si>
  <si>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</si>
  <si>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</si>
  <si>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</si>
  <si>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</si>
  <si>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</si>
  <si>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</si>
  <si>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</si>
  <si>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</si>
  <si>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</si>
  <si>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</si>
  <si>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</si>
  <si>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</si>
  <si>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</si>
  <si>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</si>
  <si>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</si>
  <si>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</si>
  <si>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</si>
  <si>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</si>
  <si>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</si>
  <si>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</si>
  <si>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</si>
  <si>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</si>
  <si>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</si>
  <si>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</si>
  <si>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</si>
  <si>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</si>
  <si>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</si>
  <si>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</si>
  <si>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</si>
  <si>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</si>
  <si>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</si>
  <si>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</si>
  <si>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</si>
  <si>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</si>
  <si>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</si>
  <si>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</si>
  <si>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</si>
  <si>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</si>
  <si>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</si>
  <si>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</si>
  <si>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</si>
  <si>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</si>
  <si>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</si>
  <si>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</si>
  <si>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</si>
  <si>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</si>
  <si>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</si>
  <si>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</si>
  <si>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</si>
  <si>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</si>
  <si>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</si>
  <si>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</si>
  <si>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</si>
  <si>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</si>
  <si>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</si>
  <si>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</si>
  <si>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</si>
  <si>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</si>
  <si>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</si>
  <si>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</si>
  <si>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</si>
  <si>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</si>
  <si>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</si>
  <si>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</si>
  <si>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</si>
  <si>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</si>
  <si>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</si>
  <si>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</si>
  <si>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</si>
  <si>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</si>
  <si>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</si>
  <si>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</si>
  <si>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</si>
  <si>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</si>
  <si>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</si>
  <si>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</si>
  <si>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</si>
  <si>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</si>
  <si>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</si>
  <si>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</si>
  <si>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</si>
  <si>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</si>
  <si>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</si>
  <si>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</si>
  <si>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</si>
  <si>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</si>
  <si>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</si>
  <si>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</si>
  <si>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</si>
  <si>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</si>
  <si>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</si>
  <si>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</si>
  <si>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</si>
  <si>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</si>
  <si>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</si>
  <si>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</si>
  <si>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</si>
  <si>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</si>
  <si>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</si>
  <si>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</si>
  <si>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</si>
  <si>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</si>
  <si>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</si>
  <si>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</si>
  <si>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</si>
  <si>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</si>
  <si>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</si>
  <si>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</si>
  <si>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</si>
  <si>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</si>
  <si>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</si>
  <si>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</si>
  <si>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</si>
  <si>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</si>
  <si>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</si>
  <si>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</si>
  <si>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</si>
  <si>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</si>
  <si>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</si>
  <si>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</si>
  <si>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</si>
  <si>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</si>
  <si>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</si>
  <si>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</si>
  <si>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</si>
  <si>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</si>
  <si>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</si>
  <si>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</si>
  <si>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</si>
  <si>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</si>
  <si>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</si>
  <si>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</si>
  <si>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</si>
  <si>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</si>
  <si>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</si>
  <si>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</si>
  <si>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</si>
  <si>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</si>
  <si>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</si>
  <si>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</si>
  <si>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</si>
  <si>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</si>
  <si>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</si>
  <si>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</si>
  <si>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</si>
  <si>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</si>
  <si>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</si>
  <si>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</si>
  <si>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</si>
  <si>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</si>
  <si>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</si>
  <si>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</si>
  <si>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</si>
  <si>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</si>
  <si>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</si>
  <si>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</si>
  <si>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</si>
  <si>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</si>
  <si>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</si>
  <si>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</si>
  <si>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</si>
  <si>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</si>
  <si>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</si>
  <si>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</si>
  <si>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</si>
  <si>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</si>
  <si>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</si>
  <si>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</si>
  <si>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</si>
  <si>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</si>
  <si>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</si>
  <si>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</si>
  <si>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</si>
  <si>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</si>
  <si>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</si>
  <si>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</si>
  <si>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</si>
  <si>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</si>
  <si>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</si>
  <si>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</si>
  <si>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</si>
  <si>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</si>
  <si>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</si>
  <si>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</si>
  <si>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</si>
  <si>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</si>
  <si>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</si>
  <si>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</si>
  <si>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</si>
  <si>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</si>
  <si>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</si>
  <si>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</si>
  <si>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</si>
  <si>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</si>
  <si>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</si>
  <si>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</si>
  <si>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</si>
  <si>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</si>
  <si>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</si>
  <si>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</si>
  <si>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</si>
  <si>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</si>
  <si>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</si>
  <si>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</si>
  <si>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</si>
  <si>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</si>
  <si>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</si>
  <si>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</si>
  <si>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</si>
  <si>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</si>
  <si>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</si>
  <si>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</si>
  <si>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</si>
  <si>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</si>
  <si>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</si>
  <si>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</si>
  <si>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</si>
  <si>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</si>
  <si>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</si>
  <si>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</si>
  <si>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</si>
  <si>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</si>
  <si>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</si>
  <si>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</si>
  <si>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</si>
  <si>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</si>
  <si>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</si>
  <si>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</si>
  <si>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</si>
  <si>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</si>
  <si>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</si>
  <si>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</si>
  <si>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</si>
  <si>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</si>
  <si>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</si>
  <si>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</si>
  <si>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</si>
  <si>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</si>
  <si>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</si>
  <si>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</si>
  <si>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</si>
  <si>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</si>
  <si>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</si>
  <si>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</si>
  <si>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</si>
  <si>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</si>
  <si>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</si>
  <si>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</si>
  <si>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</si>
  <si>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</si>
  <si>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</si>
  <si>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</si>
  <si>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</si>
  <si>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</si>
  <si>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</si>
  <si>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</si>
  <si>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</si>
  <si>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</si>
  <si>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</si>
  <si>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</si>
  <si>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</si>
  <si>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</si>
  <si>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</si>
  <si>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</si>
  <si>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</si>
  <si>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</si>
  <si>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</si>
  <si>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</si>
  <si>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</si>
  <si>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</si>
  <si>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</si>
  <si>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</si>
  <si>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</si>
  <si>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</si>
  <si>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</si>
  <si>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</si>
  <si>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</si>
  <si>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</si>
  <si>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</si>
  <si>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</si>
  <si>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</si>
  <si>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</si>
  <si>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</si>
  <si>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</si>
  <si>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</si>
  <si>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</si>
  <si>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</si>
  <si>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</si>
  <si>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</si>
  <si>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</si>
  <si>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</si>
  <si>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</si>
  <si>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</si>
  <si>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</si>
  <si>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</si>
  <si>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</si>
  <si>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</si>
  <si>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</si>
  <si>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</si>
  <si>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</si>
  <si>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</si>
  <si>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</si>
  <si>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</si>
  <si>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</si>
  <si>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</si>
  <si>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</si>
  <si>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</si>
  <si>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</si>
  <si>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</si>
  <si>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</si>
  <si>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</si>
  <si>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</si>
  <si>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</si>
  <si>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</si>
  <si>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</si>
  <si>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</si>
  <si>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</si>
  <si>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</si>
  <si>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</si>
  <si>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</si>
  <si>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</si>
  <si>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</si>
  <si>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</si>
  <si>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</si>
  <si>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</si>
  <si>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</si>
  <si>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</si>
  <si>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</si>
  <si>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</si>
  <si>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</si>
  <si>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</si>
  <si>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</si>
  <si>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</si>
  <si>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</si>
  <si>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</si>
  <si>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</si>
  <si>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</si>
  <si>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</si>
  <si>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</si>
  <si>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</si>
  <si>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</si>
  <si>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</si>
  <si>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</si>
  <si>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</si>
  <si>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</si>
  <si>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</si>
  <si>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</si>
  <si>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</si>
  <si>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</si>
  <si>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</si>
  <si>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</si>
  <si>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</si>
  <si>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</si>
  <si>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</si>
  <si>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</si>
  <si>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</si>
  <si>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</si>
  <si>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</si>
  <si>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</si>
  <si>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</si>
  <si>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</si>
  <si>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</si>
  <si>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</si>
  <si>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</si>
  <si>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</si>
  <si>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</si>
  <si>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</si>
  <si>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</si>
  <si>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</si>
  <si>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Poznámka:</t>
  </si>
  <si>
    <t>Objekt</t>
  </si>
  <si>
    <t>01</t>
  </si>
  <si>
    <t>02</t>
  </si>
  <si>
    <t>03</t>
  </si>
  <si>
    <t>04</t>
  </si>
  <si>
    <t>05</t>
  </si>
  <si>
    <t>06</t>
  </si>
  <si>
    <t>Kód</t>
  </si>
  <si>
    <t>614471800R00</t>
  </si>
  <si>
    <t>612471411R00</t>
  </si>
  <si>
    <t>611471411R00</t>
  </si>
  <si>
    <t>611481211RT2</t>
  </si>
  <si>
    <t>784221101R00</t>
  </si>
  <si>
    <t>642944121R00</t>
  </si>
  <si>
    <t>55330316</t>
  </si>
  <si>
    <t>55330319</t>
  </si>
  <si>
    <t>61165603</t>
  </si>
  <si>
    <t>61160126</t>
  </si>
  <si>
    <t>61160186</t>
  </si>
  <si>
    <t>713</t>
  </si>
  <si>
    <t>713111125R00</t>
  </si>
  <si>
    <t>63151402</t>
  </si>
  <si>
    <t>731</t>
  </si>
  <si>
    <t>731100831R00</t>
  </si>
  <si>
    <t>732211815R00</t>
  </si>
  <si>
    <t>732320815R00</t>
  </si>
  <si>
    <t>732420816R00</t>
  </si>
  <si>
    <t>732213814R00</t>
  </si>
  <si>
    <t>732393818R00</t>
  </si>
  <si>
    <t>732420817R00</t>
  </si>
  <si>
    <t>731391812R00</t>
  </si>
  <si>
    <t>733110810R00</t>
  </si>
  <si>
    <t>733110808R00</t>
  </si>
  <si>
    <t>734100813R00</t>
  </si>
  <si>
    <t>731202820R00</t>
  </si>
  <si>
    <t>766</t>
  </si>
  <si>
    <t>766661112R00</t>
  </si>
  <si>
    <t>549146403</t>
  </si>
  <si>
    <t>766661122R00</t>
  </si>
  <si>
    <t>766695213R00</t>
  </si>
  <si>
    <t>766670021R00</t>
  </si>
  <si>
    <t>549146423</t>
  </si>
  <si>
    <t>61187401</t>
  </si>
  <si>
    <t>771</t>
  </si>
  <si>
    <t>771212113R00</t>
  </si>
  <si>
    <t>771471014R00</t>
  </si>
  <si>
    <t>597642068</t>
  </si>
  <si>
    <t>776</t>
  </si>
  <si>
    <t>776510010RA0</t>
  </si>
  <si>
    <t>777</t>
  </si>
  <si>
    <t>777615213RT1</t>
  </si>
  <si>
    <t>783</t>
  </si>
  <si>
    <t>783801812R00</t>
  </si>
  <si>
    <t>24590827</t>
  </si>
  <si>
    <t>784</t>
  </si>
  <si>
    <t>784442001RT1</t>
  </si>
  <si>
    <t>784191201R00</t>
  </si>
  <si>
    <t>900      R01</t>
  </si>
  <si>
    <t>941955002R00</t>
  </si>
  <si>
    <t>952901111R00</t>
  </si>
  <si>
    <t>H01</t>
  </si>
  <si>
    <t>998011001R00</t>
  </si>
  <si>
    <t>H731</t>
  </si>
  <si>
    <t>998731201RA</t>
  </si>
  <si>
    <t>H766</t>
  </si>
  <si>
    <t>998766201RA</t>
  </si>
  <si>
    <t>H771</t>
  </si>
  <si>
    <t>998771201RA</t>
  </si>
  <si>
    <t>H776</t>
  </si>
  <si>
    <t>998776201RA</t>
  </si>
  <si>
    <t>H777</t>
  </si>
  <si>
    <t>998777201RA</t>
  </si>
  <si>
    <t>M21</t>
  </si>
  <si>
    <t>210800507R00</t>
  </si>
  <si>
    <t>210192573R11</t>
  </si>
  <si>
    <t>210-R06</t>
  </si>
  <si>
    <t>210-R07</t>
  </si>
  <si>
    <t>210-R09</t>
  </si>
  <si>
    <t>222260043R00</t>
  </si>
  <si>
    <t>34551622</t>
  </si>
  <si>
    <t>34536498</t>
  </si>
  <si>
    <t>34536710</t>
  </si>
  <si>
    <t>34535400</t>
  </si>
  <si>
    <t>34535446</t>
  </si>
  <si>
    <t>34571511</t>
  </si>
  <si>
    <t>34111032</t>
  </si>
  <si>
    <t>34111030</t>
  </si>
  <si>
    <t>34111038</t>
  </si>
  <si>
    <t>34111094</t>
  </si>
  <si>
    <t>34111098</t>
  </si>
  <si>
    <t>34111060</t>
  </si>
  <si>
    <t>34571523</t>
  </si>
  <si>
    <t>345715555</t>
  </si>
  <si>
    <t>357-R55</t>
  </si>
  <si>
    <t>34561413</t>
  </si>
  <si>
    <t>342264051RT1</t>
  </si>
  <si>
    <t>342264051RT3</t>
  </si>
  <si>
    <t>342270042RAA</t>
  </si>
  <si>
    <t>612481211RT2</t>
  </si>
  <si>
    <t>612403386R00</t>
  </si>
  <si>
    <t>632441321R00</t>
  </si>
  <si>
    <t>5533301444</t>
  </si>
  <si>
    <t>711</t>
  </si>
  <si>
    <t>711212002RT1</t>
  </si>
  <si>
    <t>711401111R00</t>
  </si>
  <si>
    <t>713110010RAC</t>
  </si>
  <si>
    <t>713111211RK2</t>
  </si>
  <si>
    <t>721</t>
  </si>
  <si>
    <t>721-R02</t>
  </si>
  <si>
    <t>733190109R00</t>
  </si>
  <si>
    <t>721-R03</t>
  </si>
  <si>
    <t>28615214.A</t>
  </si>
  <si>
    <t>28615234.A</t>
  </si>
  <si>
    <t>28615340.A</t>
  </si>
  <si>
    <t>28615360.A</t>
  </si>
  <si>
    <t>28615287.A</t>
  </si>
  <si>
    <t>28615289.A</t>
  </si>
  <si>
    <t>28615297.A</t>
  </si>
  <si>
    <t>722</t>
  </si>
  <si>
    <t>55111341</t>
  </si>
  <si>
    <t>55111371</t>
  </si>
  <si>
    <t>286151860</t>
  </si>
  <si>
    <t>286143002</t>
  </si>
  <si>
    <t>28377201.A</t>
  </si>
  <si>
    <t>283772032</t>
  </si>
  <si>
    <t>28377784.A</t>
  </si>
  <si>
    <t>23152340</t>
  </si>
  <si>
    <t>734267323R00</t>
  </si>
  <si>
    <t>722222182R00</t>
  </si>
  <si>
    <t>55111432</t>
  </si>
  <si>
    <t>55111322</t>
  </si>
  <si>
    <t>551310405</t>
  </si>
  <si>
    <t>738129412R00</t>
  </si>
  <si>
    <t>230180008R00</t>
  </si>
  <si>
    <t>230-R20</t>
  </si>
  <si>
    <t>725-R01</t>
  </si>
  <si>
    <t>722269112R00</t>
  </si>
  <si>
    <t>38821226</t>
  </si>
  <si>
    <t>725</t>
  </si>
  <si>
    <t>725017163R00</t>
  </si>
  <si>
    <t>725860215R00</t>
  </si>
  <si>
    <t>725823134RT0</t>
  </si>
  <si>
    <t>725823111RT0</t>
  </si>
  <si>
    <t>725819401R00</t>
  </si>
  <si>
    <t>55144162</t>
  </si>
  <si>
    <t>725845111RT1</t>
  </si>
  <si>
    <t>725249102R00</t>
  </si>
  <si>
    <t>64293832</t>
  </si>
  <si>
    <t>725249103R00</t>
  </si>
  <si>
    <t>55428102.A</t>
  </si>
  <si>
    <t>725860227RT3</t>
  </si>
  <si>
    <t>55231346</t>
  </si>
  <si>
    <t>28653057.A</t>
  </si>
  <si>
    <t>725829301R00</t>
  </si>
  <si>
    <t>725299101R00</t>
  </si>
  <si>
    <t>725210915R00</t>
  </si>
  <si>
    <t>725210821R00</t>
  </si>
  <si>
    <t>725220841R00</t>
  </si>
  <si>
    <t>725110811R00</t>
  </si>
  <si>
    <t>725820801R00</t>
  </si>
  <si>
    <t>725820802R00</t>
  </si>
  <si>
    <t>725860188RT1</t>
  </si>
  <si>
    <t>725814125R00</t>
  </si>
  <si>
    <t>725033132RT1</t>
  </si>
  <si>
    <t>728</t>
  </si>
  <si>
    <t>728115111R00</t>
  </si>
  <si>
    <t>42981161</t>
  </si>
  <si>
    <t>42971072</t>
  </si>
  <si>
    <t>728415113R00</t>
  </si>
  <si>
    <t>429172323</t>
  </si>
  <si>
    <t>728414725RA</t>
  </si>
  <si>
    <t>551373403</t>
  </si>
  <si>
    <t>725530921R00</t>
  </si>
  <si>
    <t>5413220113</t>
  </si>
  <si>
    <t>733</t>
  </si>
  <si>
    <t>733-R01</t>
  </si>
  <si>
    <t>735</t>
  </si>
  <si>
    <t>735200010RAB</t>
  </si>
  <si>
    <t>735171512R00</t>
  </si>
  <si>
    <t>732-R01</t>
  </si>
  <si>
    <t>736</t>
  </si>
  <si>
    <t>736110003RT3</t>
  </si>
  <si>
    <t>28600711</t>
  </si>
  <si>
    <t>61160110</t>
  </si>
  <si>
    <t>61160612</t>
  </si>
  <si>
    <t>54914627</t>
  </si>
  <si>
    <t>54914625</t>
  </si>
  <si>
    <t>61187421</t>
  </si>
  <si>
    <t>766660030RA0</t>
  </si>
  <si>
    <t>766660034RA0</t>
  </si>
  <si>
    <t>61181510</t>
  </si>
  <si>
    <t>61181502</t>
  </si>
  <si>
    <t>766661412R33</t>
  </si>
  <si>
    <t>766812840RBB</t>
  </si>
  <si>
    <t>766694113R00</t>
  </si>
  <si>
    <t>766690010RAB</t>
  </si>
  <si>
    <t>767</t>
  </si>
  <si>
    <t>767640118RAA</t>
  </si>
  <si>
    <t>549146433</t>
  </si>
  <si>
    <t>55347626</t>
  </si>
  <si>
    <t>771575010RAH</t>
  </si>
  <si>
    <t>597642920</t>
  </si>
  <si>
    <t>775</t>
  </si>
  <si>
    <t>775542011R00</t>
  </si>
  <si>
    <t>775540001R00</t>
  </si>
  <si>
    <t>61193721</t>
  </si>
  <si>
    <t>775542022R00</t>
  </si>
  <si>
    <t>775413132R00</t>
  </si>
  <si>
    <t>781</t>
  </si>
  <si>
    <t>781475112R00</t>
  </si>
  <si>
    <t>781497121RS2</t>
  </si>
  <si>
    <t>597813620</t>
  </si>
  <si>
    <t>781900010RA0</t>
  </si>
  <si>
    <t>900      R02</t>
  </si>
  <si>
    <t>968061125R00</t>
  </si>
  <si>
    <t>962200061RA0</t>
  </si>
  <si>
    <t>968072455R00</t>
  </si>
  <si>
    <t>969011131R00</t>
  </si>
  <si>
    <t>969021111R00</t>
  </si>
  <si>
    <t>771990010RA0</t>
  </si>
  <si>
    <t>968-R10</t>
  </si>
  <si>
    <t>974049121R00</t>
  </si>
  <si>
    <t>970241100R00</t>
  </si>
  <si>
    <t>998011002R00</t>
  </si>
  <si>
    <t>H711</t>
  </si>
  <si>
    <t>998711202RA</t>
  </si>
  <si>
    <t>H713</t>
  </si>
  <si>
    <t>998713202RA</t>
  </si>
  <si>
    <t>H72</t>
  </si>
  <si>
    <t>998728202RA</t>
  </si>
  <si>
    <t>H721</t>
  </si>
  <si>
    <t>998721202RA</t>
  </si>
  <si>
    <t>H722</t>
  </si>
  <si>
    <t>998722202RA</t>
  </si>
  <si>
    <t>H725</t>
  </si>
  <si>
    <t>998725202RA</t>
  </si>
  <si>
    <t>998731202RA</t>
  </si>
  <si>
    <t>H733</t>
  </si>
  <si>
    <t>998733201RA</t>
  </si>
  <si>
    <t>H735</t>
  </si>
  <si>
    <t>998735202RA</t>
  </si>
  <si>
    <t>H736</t>
  </si>
  <si>
    <t>998736202RA</t>
  </si>
  <si>
    <t>998766202RA</t>
  </si>
  <si>
    <t>H767</t>
  </si>
  <si>
    <t>998767202RA</t>
  </si>
  <si>
    <t>998771202RA</t>
  </si>
  <si>
    <t>H775</t>
  </si>
  <si>
    <t>998775202RA</t>
  </si>
  <si>
    <t>998776202RA</t>
  </si>
  <si>
    <t>H781</t>
  </si>
  <si>
    <t>998781202RA</t>
  </si>
  <si>
    <t>34551615</t>
  </si>
  <si>
    <t>34535454</t>
  </si>
  <si>
    <t>220301203R00</t>
  </si>
  <si>
    <t>210800033R20</t>
  </si>
  <si>
    <t>210-R03</t>
  </si>
  <si>
    <t>34111076</t>
  </si>
  <si>
    <t>34111000</t>
  </si>
  <si>
    <t>357-R01</t>
  </si>
  <si>
    <t>210110082RT1</t>
  </si>
  <si>
    <t>210-R08</t>
  </si>
  <si>
    <t>222-R02</t>
  </si>
  <si>
    <t>222-R04</t>
  </si>
  <si>
    <t>222730006R00</t>
  </si>
  <si>
    <t>222-R06</t>
  </si>
  <si>
    <t>429148016</t>
  </si>
  <si>
    <t>429-R02</t>
  </si>
  <si>
    <t>96801-R00</t>
  </si>
  <si>
    <t>721-R100</t>
  </si>
  <si>
    <t>721-R200</t>
  </si>
  <si>
    <t>722254231RHH</t>
  </si>
  <si>
    <t>722259201R00</t>
  </si>
  <si>
    <t>722254110R00</t>
  </si>
  <si>
    <t>722-R100</t>
  </si>
  <si>
    <t>767-R44</t>
  </si>
  <si>
    <t>773</t>
  </si>
  <si>
    <t>773991001R00</t>
  </si>
  <si>
    <t>962032641R00</t>
  </si>
  <si>
    <t>210-R100</t>
  </si>
  <si>
    <t>210-R200</t>
  </si>
  <si>
    <t>34828416</t>
  </si>
  <si>
    <t>310271525R00</t>
  </si>
  <si>
    <t>622311525RV1</t>
  </si>
  <si>
    <t>622432112R00</t>
  </si>
  <si>
    <t>622311737RV1</t>
  </si>
  <si>
    <t>622311753RV1</t>
  </si>
  <si>
    <t>622315018R00</t>
  </si>
  <si>
    <t>622451122R00</t>
  </si>
  <si>
    <t>622904112R00</t>
  </si>
  <si>
    <t>622421494R00</t>
  </si>
  <si>
    <t>622473187RT2</t>
  </si>
  <si>
    <t>602013177RO8</t>
  </si>
  <si>
    <t>602016195RCC</t>
  </si>
  <si>
    <t>58556813.A</t>
  </si>
  <si>
    <t>61143853.A</t>
  </si>
  <si>
    <t>766629303R00</t>
  </si>
  <si>
    <t>61143011.A</t>
  </si>
  <si>
    <t>766629301R00</t>
  </si>
  <si>
    <t>61143251</t>
  </si>
  <si>
    <t>766660016RA0</t>
  </si>
  <si>
    <t>61143791.BB</t>
  </si>
  <si>
    <t>766660014RA0</t>
  </si>
  <si>
    <t>611-R50</t>
  </si>
  <si>
    <t>642940092RA0</t>
  </si>
  <si>
    <t>549146432</t>
  </si>
  <si>
    <t>766698111RAS</t>
  </si>
  <si>
    <t>55344628.A</t>
  </si>
  <si>
    <t>713111111RT2</t>
  </si>
  <si>
    <t>63151410</t>
  </si>
  <si>
    <t>762</t>
  </si>
  <si>
    <t>762332932RT2</t>
  </si>
  <si>
    <t>762340030RAA</t>
  </si>
  <si>
    <t>764</t>
  </si>
  <si>
    <t>764900010RAA</t>
  </si>
  <si>
    <t>764319020RA0</t>
  </si>
  <si>
    <t>764908102R00</t>
  </si>
  <si>
    <t>764908109R00</t>
  </si>
  <si>
    <t>764901203R00</t>
  </si>
  <si>
    <t>764908105R00</t>
  </si>
  <si>
    <t>764909401R00</t>
  </si>
  <si>
    <t>764908307R00</t>
  </si>
  <si>
    <t>764901317R00</t>
  </si>
  <si>
    <t>764902316R00</t>
  </si>
  <si>
    <t>764901313R00</t>
  </si>
  <si>
    <t>764901311R00</t>
  </si>
  <si>
    <t>764904010R00</t>
  </si>
  <si>
    <t>27344352</t>
  </si>
  <si>
    <t>27344354</t>
  </si>
  <si>
    <t>764900050RAA</t>
  </si>
  <si>
    <t>764421850R00</t>
  </si>
  <si>
    <t>764521650RT3</t>
  </si>
  <si>
    <t>764521650RAC</t>
  </si>
  <si>
    <t>764900035RAA</t>
  </si>
  <si>
    <t>764351836R00</t>
  </si>
  <si>
    <t>764252492R00</t>
  </si>
  <si>
    <t>55351592</t>
  </si>
  <si>
    <t>55351615</t>
  </si>
  <si>
    <t>764900010RAB</t>
  </si>
  <si>
    <t>764903203RAA</t>
  </si>
  <si>
    <t>767649191R00</t>
  </si>
  <si>
    <t>54917025</t>
  </si>
  <si>
    <t>783124220R00</t>
  </si>
  <si>
    <t>783782207R00</t>
  </si>
  <si>
    <t>941941831R00</t>
  </si>
  <si>
    <t>941941041R00</t>
  </si>
  <si>
    <t>941941291R00</t>
  </si>
  <si>
    <t>968062355R00</t>
  </si>
  <si>
    <t>968079944RBA</t>
  </si>
  <si>
    <t>968072456R00</t>
  </si>
  <si>
    <t>H762</t>
  </si>
  <si>
    <t>998762202RA</t>
  </si>
  <si>
    <t>H764</t>
  </si>
  <si>
    <t>998764202RA</t>
  </si>
  <si>
    <t>210200020RA0</t>
  </si>
  <si>
    <t>051</t>
  </si>
  <si>
    <t>00512110-R01</t>
  </si>
  <si>
    <t>00512110-R02</t>
  </si>
  <si>
    <t>00512110-R03</t>
  </si>
  <si>
    <t>00512110-R04</t>
  </si>
  <si>
    <t>0051220-R01</t>
  </si>
  <si>
    <t>0051240-R01</t>
  </si>
  <si>
    <t>005230-R01</t>
  </si>
  <si>
    <t>005240-R01</t>
  </si>
  <si>
    <t>005260-R01</t>
  </si>
  <si>
    <t>BYTOVÝ DŮM č.p.58, parc.č.st.41/3 ,ZHOŘ</t>
  </si>
  <si>
    <t>REVITALIZACE BYTOVÉHO DOMU</t>
  </si>
  <si>
    <t>ZHOŘ U STŘÍBRA</t>
  </si>
  <si>
    <t>Zkrácený popis / Varianta</t>
  </si>
  <si>
    <t>Rozměry</t>
  </si>
  <si>
    <t>1.PP</t>
  </si>
  <si>
    <t>Úprava povrchů vnitřní</t>
  </si>
  <si>
    <t>Adhézní můstek</t>
  </si>
  <si>
    <t>671,32</t>
  </si>
  <si>
    <t>-17*0,9*2</t>
  </si>
  <si>
    <t>-6*2,1*2,4</t>
  </si>
  <si>
    <t>-5*1*0,75</t>
  </si>
  <si>
    <t>Úprava vnitřních stěn aktivovaným štukem</t>
  </si>
  <si>
    <t>Úprava stropů aktivovaným štukem tl. 2 - 3 mm</t>
  </si>
  <si>
    <t>16,18+13,38+6,25+15,54+15,9+15,64+15,9+4,07+6,05+1,55+1,55+1,55+1,55+1,2+1,55+4,15</t>
  </si>
  <si>
    <t>16,18+15,9+11,46+2,73+15,72</t>
  </si>
  <si>
    <t>Montáž výztužné sítě (perlinky) do stěrky-stropy</t>
  </si>
  <si>
    <t>včetně výztužné sítě a stěrkového tmelu</t>
  </si>
  <si>
    <t>Penetrace podkladu stropů 1x</t>
  </si>
  <si>
    <t>Výplně otvorů</t>
  </si>
  <si>
    <t>Osazení ocelových zárubní  do 2,5 m2</t>
  </si>
  <si>
    <t>Zárubeň ocelová H 110   600x1970x110</t>
  </si>
  <si>
    <t>Zárubeň ocelová H 110   800x1970x110 L</t>
  </si>
  <si>
    <t>Dveře protipožární EI30 plné 80x197 cm fólie</t>
  </si>
  <si>
    <t>Dveře vnitřní hladké plné 1 kříd. 60x197 lak A</t>
  </si>
  <si>
    <t>Dveře vnitřní hladké plné 1 kříd. 80x197 lak A</t>
  </si>
  <si>
    <t>Izolace tepelné</t>
  </si>
  <si>
    <t>Izolace tepelné stropů rovných spodem, lepením</t>
  </si>
  <si>
    <t>Deska z minerální plsti  tl. 60 mm</t>
  </si>
  <si>
    <t>193,2</t>
  </si>
  <si>
    <t>Kotelny</t>
  </si>
  <si>
    <t>Demontáž kotle litinového</t>
  </si>
  <si>
    <t>Demontáž ohříváků zásobníkových ležatých do 1600 l</t>
  </si>
  <si>
    <t>Odpojení nádrží od rozvodů potrubí, do 1000 l</t>
  </si>
  <si>
    <t>Demontáž čerpadel oběhových spirálních DN 100</t>
  </si>
  <si>
    <t>Rozřezání demontovaných ohříváků do 1600 l</t>
  </si>
  <si>
    <t>Rozřezání demontovaných nádrží, do 5000 l</t>
  </si>
  <si>
    <t>Demontáž čerpadel oběhových spirálních DN 125</t>
  </si>
  <si>
    <t>Vypouštění vody z kotlů samospádem do 10 m2</t>
  </si>
  <si>
    <t>Demontáž potrubí ocelového závitového do DN 50-80</t>
  </si>
  <si>
    <t>Demontáž potrubí ocelového závitového do DN 32-50</t>
  </si>
  <si>
    <t>Demontáž armatur se dvěma přírubami do DN 150</t>
  </si>
  <si>
    <t>Rozřezání kotlů ocelových do 1000 kg</t>
  </si>
  <si>
    <t>Konstrukce truhlářské</t>
  </si>
  <si>
    <t>Montáž dveří do zárubně,otevíravých 1kř.do 0,8 m</t>
  </si>
  <si>
    <t>Bezp. kování  Klika-knoflík Ti</t>
  </si>
  <si>
    <t>Montáž dveří do zárubně,otevíravých 1kř.nad 0,8 m</t>
  </si>
  <si>
    <t>Montáž prahů dveří jednokřídlových š. nad 10 cm</t>
  </si>
  <si>
    <t>Montáž kliky a štítku</t>
  </si>
  <si>
    <t>Dveřní kování  Klika-klika Ti</t>
  </si>
  <si>
    <t>Prah bukový délka 80 cm šířka 15 cm 2 cm</t>
  </si>
  <si>
    <t>Podlahy z dlaždic</t>
  </si>
  <si>
    <t>Kladení dlažby keramické do TM, vel. do 400x400 mm</t>
  </si>
  <si>
    <t>Obklad soklíků keram.rovných do MC,20x10, H 10 cm</t>
  </si>
  <si>
    <t>Dlažba keramická</t>
  </si>
  <si>
    <t>Podlahy povlakové</t>
  </si>
  <si>
    <t>Demontáž povlakových podlah z nášlapné plochy</t>
  </si>
  <si>
    <t>PVC</t>
  </si>
  <si>
    <t>Podlahy ze syntetických hmot</t>
  </si>
  <si>
    <t>Nátěry podlah betonových  bezprašným nátěrem</t>
  </si>
  <si>
    <t>Nátěry</t>
  </si>
  <si>
    <t>Oškrabání maleb stropů a stěn</t>
  </si>
  <si>
    <t>VIZ.POLOŽKA č.40</t>
  </si>
  <si>
    <t>Tekutý roztok biocidních látek na ničení řas a plísní na zdivu 0,5 l</t>
  </si>
  <si>
    <t>Malby</t>
  </si>
  <si>
    <t>Malba disperzní interiérová , výška do 3,8 m</t>
  </si>
  <si>
    <t xml:space="preserve"> 2x nátěr, 1x penetrace</t>
  </si>
  <si>
    <t>606,73+184</t>
  </si>
  <si>
    <t>Penetrace podkladu  hloubková  1x</t>
  </si>
  <si>
    <t>Hodinové zúčtovací sazby (HZS)</t>
  </si>
  <si>
    <t>HZS-nespecifikované práce</t>
  </si>
  <si>
    <t>vyklízení domovního odpadu</t>
  </si>
  <si>
    <t>Lešení a stavební výtahy</t>
  </si>
  <si>
    <t>Lešení lehké pomocné, výška podlahy do 1,9 m</t>
  </si>
  <si>
    <t>rozměry VIZ.POLOŽKA č.3</t>
  </si>
  <si>
    <t>Různé dokončovací konstrukce a práce na pozemních stavbách</t>
  </si>
  <si>
    <t>Vyčištění budov o výšce podlaží do 4 m</t>
  </si>
  <si>
    <t>Budovy občanské výstavby</t>
  </si>
  <si>
    <t>Přesun hmot pro budovy zděné výšky do 6 m</t>
  </si>
  <si>
    <t>Přesun hmot pro kotelny, výšky do 6 m</t>
  </si>
  <si>
    <t>Přesun hmot pro truhlářské konstr., výšky do 6 m</t>
  </si>
  <si>
    <t>Přesun hmot pro podlahy z dlaždic, výšky do 6 m</t>
  </si>
  <si>
    <t>Přesun hmot pro podlahy povlakové, výšky do 6 m</t>
  </si>
  <si>
    <t>Přesun hmot pro podlahy syntetické, výšky do 6 m</t>
  </si>
  <si>
    <t>Elektromontáže</t>
  </si>
  <si>
    <t>Vodič nn a vn CY 6 mm2 uložený v trubkách</t>
  </si>
  <si>
    <t>Svorkovnice svítidlová</t>
  </si>
  <si>
    <t>Revize elektrozařízení</t>
  </si>
  <si>
    <t>provedení příslušných revizí a zkoušek elektro</t>
  </si>
  <si>
    <t>Demontáž stávajících rozvodů a zařízení</t>
  </si>
  <si>
    <t>demontáž zbytků stávajících rozvodů a nefunkčních zařízení v 1.PP, vyklizení a likvidace</t>
  </si>
  <si>
    <t>Montáž rozvodů a zařízení</t>
  </si>
  <si>
    <t>montáž rozvodů nn vč.koncových prvků</t>
  </si>
  <si>
    <t>HZS</t>
  </si>
  <si>
    <t>zednické přípomoce pro montáže a demontáže elektro rozvodů</t>
  </si>
  <si>
    <t>Krabice KR 68 vč.svorkovnice</t>
  </si>
  <si>
    <t>Zásuvka dvojnásobná bytová</t>
  </si>
  <si>
    <t>Kryt spínače bytového</t>
  </si>
  <si>
    <t>Rámeček pro spínače a zásuvky bytové</t>
  </si>
  <si>
    <t>Strojek spínače 1pólového bytového řaz.1</t>
  </si>
  <si>
    <t>Strojek spínače křížového bytového řaz.7</t>
  </si>
  <si>
    <t>Krabice přístrojová kruhová Kp 68/2 d 74x30 mm</t>
  </si>
  <si>
    <t>Kabel silový s Cu jádrem 750 V CYKY 3 C x 1,5 mm2</t>
  </si>
  <si>
    <t>Kabel silový s Cu jádrem 750 V CYKY 3A x 1,5 mm2</t>
  </si>
  <si>
    <t>Kabel silový s Cu jádrem 750 V CYKY 3 C x 2,5 mm2</t>
  </si>
  <si>
    <t>Kabel silový s Cu jádrem 750 V CYKY 5 x 2,5 mm2</t>
  </si>
  <si>
    <t>Kabel silový s Cu jádrem 750 V CYKY 5 x 4 mm2</t>
  </si>
  <si>
    <t>Kabel silový s Cu jádrem 750 V CYKY 4C x 1,5 mm2</t>
  </si>
  <si>
    <t>Krabice přístrojová odbočná kruhová z PH KO 97/5</t>
  </si>
  <si>
    <t>Víčko krabice z PC  KO 97 V/1HF</t>
  </si>
  <si>
    <t>Rozvaděč elektroměrový vč.výzbroje,spol.prostory a suterén</t>
  </si>
  <si>
    <t>Svorka vodičová</t>
  </si>
  <si>
    <t>1.NP</t>
  </si>
  <si>
    <t>Stěny a příčky</t>
  </si>
  <si>
    <t>Podhled sádrokartonový na zavěšenou ocel. konstr.</t>
  </si>
  <si>
    <t>desky standard tl. 12,5 mm, bez izolace</t>
  </si>
  <si>
    <t>159,2+19,04</t>
  </si>
  <si>
    <t>desky standard impreg. tl. 12,5 mm, bez izolace</t>
  </si>
  <si>
    <t>Příčka z desek pórobetonových hladkých, tloušťka 10 cm</t>
  </si>
  <si>
    <t>tvárnice 600 x 250 x 100 mm, P 3 - 550,WC předstěny</t>
  </si>
  <si>
    <t>5,175*1,6</t>
  </si>
  <si>
    <t>tvárnice 600 x 250 x 100 mm, P 3 - 550,</t>
  </si>
  <si>
    <t>(2,4+2,4)*2,7</t>
  </si>
  <si>
    <t>(1,55+1,55)*2,7*3</t>
  </si>
  <si>
    <t>1,64*2,7*3</t>
  </si>
  <si>
    <t>-0,6*2*3*3</t>
  </si>
  <si>
    <t>-0,8*2*3</t>
  </si>
  <si>
    <t>Montáž výztužné sítě (perlinky) do stěrky-stěny</t>
  </si>
  <si>
    <t>3,36+8,28</t>
  </si>
  <si>
    <t>142,12*2,65</t>
  </si>
  <si>
    <t>8,28+376,62</t>
  </si>
  <si>
    <t>Hrubá výplň rýh ve stěnách do 10x10cm maltou z SMS</t>
  </si>
  <si>
    <t>60,6+376,62+60,6</t>
  </si>
  <si>
    <t>Podlahy a podlahové konstrukce</t>
  </si>
  <si>
    <t>Potěr samonivelační, plocha do 500 m2, tl. 35 mm</t>
  </si>
  <si>
    <t>7,65+9,95+15+17,89+3,69+14,5+2,48+0,94</t>
  </si>
  <si>
    <t>3,02+1,81+14,5+10,52+4,54+0,94</t>
  </si>
  <si>
    <t>6,12+9,95+5,41+0,94+6,76+11,45+22,21</t>
  </si>
  <si>
    <t>Zárubeň ocelová YH 900/1970EI, EW 45</t>
  </si>
  <si>
    <t>Izolace proti vodě</t>
  </si>
  <si>
    <t>Hydroizolační povlak - nátěr nebo stěrka</t>
  </si>
  <si>
    <t>proti vlhkosti, tl. 2mm</t>
  </si>
  <si>
    <t>7,29*1,5</t>
  </si>
  <si>
    <t>Izolace a dilatace separační rohoží</t>
  </si>
  <si>
    <t>lodžie</t>
  </si>
  <si>
    <t>proti vlhkosti, tl. 2mm,lodžie</t>
  </si>
  <si>
    <t>Izolace tepelné stropu spodem minerální rohoží</t>
  </si>
  <si>
    <t>tloušťka 10 cm</t>
  </si>
  <si>
    <t>159,2+19,04+11,07</t>
  </si>
  <si>
    <t>Montáž parozábrany stropů spodem s přelepením spojů</t>
  </si>
  <si>
    <t>(159,2+19,04+11,07)*1,1</t>
  </si>
  <si>
    <t>Vnitřní kanalizace</t>
  </si>
  <si>
    <t>Montážní práce vnitřní kanalizace</t>
  </si>
  <si>
    <t>montáž rozvodů kanalizace v bytech č.1-3, vč. bytových stoupaček</t>
  </si>
  <si>
    <t>Tlaková zkouška potrubí  DN 65</t>
  </si>
  <si>
    <t>Demontáže původních rozvodů, vč.likvidace</t>
  </si>
  <si>
    <t>demontáž rozvodů kanalizace v bytech č.1-3, vč. bytových stoupaček</t>
  </si>
  <si>
    <t>Trubka HT s hrdlem D 50 mm délka 1000 mm PP</t>
  </si>
  <si>
    <t>Trubka HT s hrdlem D 110 mm délka 1000 mm PP</t>
  </si>
  <si>
    <t>Odbočka HTEA D 50/ 50 mm 45° PP</t>
  </si>
  <si>
    <t>Odbočka HTEA D 110/ 50 mm 45° PP</t>
  </si>
  <si>
    <t>Koleno HTB D 50 mm 45° PP</t>
  </si>
  <si>
    <t>Koleno HTB D 50 mm 87° PP</t>
  </si>
  <si>
    <t>Koleno HTB D 110 mm 45° PP</t>
  </si>
  <si>
    <t>Vnitřní vodovod</t>
  </si>
  <si>
    <t>KE-251 kulový kohout M/M Standard páka DN20</t>
  </si>
  <si>
    <t>KE-271S kulový kohout vypouštěcí DN15</t>
  </si>
  <si>
    <t>Trubka třívrstvá vodovodní 20x2,3x4000 mm</t>
  </si>
  <si>
    <t>Trubka vodovodní D25x2,8</t>
  </si>
  <si>
    <t>Trubice izolační  22x15 mm,vč.spon</t>
  </si>
  <si>
    <t>Trubice izolační  28x15 mm,vč.spon</t>
  </si>
  <si>
    <t>Páska samolepicí LPE 3,0x50 mm x 15 m</t>
  </si>
  <si>
    <t>Tmel S 9780 kaučuk silikonový 310 ml kartuše</t>
  </si>
  <si>
    <t>Šroubení topenářské, rohové,  V-4301 DN 20</t>
  </si>
  <si>
    <t>Kohout kulový vypouštěcí,  DN 15</t>
  </si>
  <si>
    <t>Zpětný ventil s pružinou DN20</t>
  </si>
  <si>
    <t>Kulový kohout  Standard páka 3/4"</t>
  </si>
  <si>
    <t>Pojistný ventil DN 15/20 10 bar</t>
  </si>
  <si>
    <t>Nádoba expanzní  12l</t>
  </si>
  <si>
    <t>Montáž trub z plastických hmot PE, PP, 25 x 4,2</t>
  </si>
  <si>
    <t>montáž rozvodů vody v bytech č.1-3, vč. bytových stoupaček</t>
  </si>
  <si>
    <t>Tlaková zkouška</t>
  </si>
  <si>
    <t>Demontáž původních rozvodů vč.likvidace</t>
  </si>
  <si>
    <t>demontáž rozvodů vody v bytech č.1-3, vč. bytových stoupaček</t>
  </si>
  <si>
    <t>Montáž vodoměru závitového jdnovt. suchob. G3/4"</t>
  </si>
  <si>
    <t>Vodoměr byt. na stud.vodu  JET,DN 20, l=130</t>
  </si>
  <si>
    <t>Zařizovací předměty</t>
  </si>
  <si>
    <t>Umyvadlo na šrouby  , 60 x 49 cm, bílé</t>
  </si>
  <si>
    <t>Sifon umyvadlový a dřezový, HL 137 D 32, 40 mm</t>
  </si>
  <si>
    <t>Baterie dřezová stojánková ruční s výsuv. sprchou</t>
  </si>
  <si>
    <t>základní</t>
  </si>
  <si>
    <t>Baterie umyvadlová stoján. ruční, bez otvír.odpadu</t>
  </si>
  <si>
    <t>Ventil rohový s trubičkou G 1/2</t>
  </si>
  <si>
    <t>Sprchová sada M3 B9452 AA</t>
  </si>
  <si>
    <t>Baterie sprchová nástěnná ruční, bez příslušenství</t>
  </si>
  <si>
    <t>standardní</t>
  </si>
  <si>
    <t>Montáž sprchových mís a vaniček</t>
  </si>
  <si>
    <t>Vanička sprch. ker. asy. TIGO 100x80cm pravá skluz</t>
  </si>
  <si>
    <t>Montáž sprchových koutů</t>
  </si>
  <si>
    <t>Kout sprchov 1/4kruh 90x90xR50 SKKH2/90R50 CH</t>
  </si>
  <si>
    <t>Sifon ke sprchové vaničce PP HL520, D 50 mm</t>
  </si>
  <si>
    <t>HL 520.0, bez krytky</t>
  </si>
  <si>
    <t>Dřez nerez odkapní typ 514  1a</t>
  </si>
  <si>
    <t xml:space="preserve"> Uzavírka zápachová , dřez</t>
  </si>
  <si>
    <t>Montáž baterie umyv.a dřezové stojánkové</t>
  </si>
  <si>
    <t>Montáž koupelnových doplňků - mýdelníků, držáků ap</t>
  </si>
  <si>
    <t>vč.dodávky doplňků</t>
  </si>
  <si>
    <t>Montáž umyvadla s 1stoj.ventilem</t>
  </si>
  <si>
    <t>Demontáž umyvadel bez výtokových armatur</t>
  </si>
  <si>
    <t>Demontáž ocelové vany</t>
  </si>
  <si>
    <t>Demontáž klozetů splachovacích</t>
  </si>
  <si>
    <t>Demontáž baterie nástěnné do G 3/4</t>
  </si>
  <si>
    <t>Demontáž baterie stojánkové do 1otvoru</t>
  </si>
  <si>
    <t>Sifon pračka,myčka HL440, D 40/50 mm</t>
  </si>
  <si>
    <t>podomítkový, suchá zápachová klapka</t>
  </si>
  <si>
    <t>Ventil pračka,myčka  DN 20</t>
  </si>
  <si>
    <t>Klozet kombi , nádrž s armat.,odp. svislý</t>
  </si>
  <si>
    <t>včetně sedátka v bílé barvě</t>
  </si>
  <si>
    <t>Vzduchotechnika</t>
  </si>
  <si>
    <t>Montáž potrubí ohebného neizol. z AL do d 100 mm</t>
  </si>
  <si>
    <t>Potrubí ohebné 100/3, délka 3 m</t>
  </si>
  <si>
    <t>Klapka kruhová DN100,na potrubí ohebné ,ovl. ruční plast</t>
  </si>
  <si>
    <t>stavební přípomoce při montáži VZT</t>
  </si>
  <si>
    <t>Montáž mřížky větrací nebo ventilační do 0,15 m2</t>
  </si>
  <si>
    <t>Klimatizace  5 kW nadokenní</t>
  </si>
  <si>
    <t>Montáž nadokenní klimatizační jednotky</t>
  </si>
  <si>
    <t>specifikace jednotky : Antialergení filtr, funkce odstraňovače pachů, protiplísňový filtr, systém inverter s ekologickým chladivem R410a, automatická regulace svislého proudění vzduchu, režim Hot start,  časové programování,  autodiagnostika poruch, dálkové IR ovládání. Jednotka oceněna samostatně.</t>
  </si>
  <si>
    <t>Termostat prostorový digitální</t>
  </si>
  <si>
    <t>Zpětná montáž zásobníků tlakových  80 l</t>
  </si>
  <si>
    <t>Ohřívač vody zásobníkový el. 100 l.</t>
  </si>
  <si>
    <t>Rozvod potrubí</t>
  </si>
  <si>
    <t>Demontáž původních rozvodů ÚT,vč.likvidace</t>
  </si>
  <si>
    <t>demontáž rozvodů ÚT v bytech č.1-3, vč. bytových stoupaček</t>
  </si>
  <si>
    <t>Otopná tělesa</t>
  </si>
  <si>
    <t>Demontáž otopných těles litinových článkových</t>
  </si>
  <si>
    <t>12*1,5</t>
  </si>
  <si>
    <t>Těleso trubkové  1500.600</t>
  </si>
  <si>
    <t>Patrona elektrická 600 W</t>
  </si>
  <si>
    <t>Regulace</t>
  </si>
  <si>
    <t>Podlahové vytápění na systémovou desku</t>
  </si>
  <si>
    <t>Deska systémová  EN/PF 1060x755 mm</t>
  </si>
  <si>
    <t>15,94+10,25+6,72+19,24+14,73+14,04+12,08+10,08+20,74+21,93+13,45</t>
  </si>
  <si>
    <t>;ztratné 10%; 15,92</t>
  </si>
  <si>
    <t>Dveře vnitřní fólie plné 1kř. 60x197 bílé</t>
  </si>
  <si>
    <t>Dveře vnitřní fólie  2/3 sklo 1kř. 80x197</t>
  </si>
  <si>
    <t>Dveřní kování  klika klika Ti</t>
  </si>
  <si>
    <t>Dveřní kování KLASIK/S klíč Ti</t>
  </si>
  <si>
    <t>Prah bukový délka 90 cm šířka 15 cm tl. 2 cm</t>
  </si>
  <si>
    <t>Montáž dveří a obložkové zárubně šířky 60 cm</t>
  </si>
  <si>
    <t>Montáž dveří a obložkové zárubně šířky 80 cm</t>
  </si>
  <si>
    <t>Zárubeň obložková  š. 60cm/st. 6-17cm lamin.</t>
  </si>
  <si>
    <t>Zárubeň obložková  š. 80cm/st.  6-17cm fólie</t>
  </si>
  <si>
    <t>Montáž kukátka do vstupních dveří</t>
  </si>
  <si>
    <t>vč.dodávky kukátka</t>
  </si>
  <si>
    <t>Demontáž kuchyňských linek do 3 m</t>
  </si>
  <si>
    <t>Montáž parapetních desek š.do 30 cm,dl.do 260 cm</t>
  </si>
  <si>
    <t>Desky parapetní aglomer. dodávka a montáž</t>
  </si>
  <si>
    <t>šířka 30 cm</t>
  </si>
  <si>
    <t>2,1*10*1,1</t>
  </si>
  <si>
    <t>Konstrukce doplňkové stavební (zámečnické)</t>
  </si>
  <si>
    <t>Dveře protipožární jednokřídlové 90 x 197 cm, PB 30 minut</t>
  </si>
  <si>
    <t>Bezpečnostní kování  Klika-knoflík Ti</t>
  </si>
  <si>
    <t>D+M,Dvířka revizní  bílá 600x600 mm</t>
  </si>
  <si>
    <t>WC,koupelny</t>
  </si>
  <si>
    <t>Dlažba keramická ,WC,koupelny</t>
  </si>
  <si>
    <t>12,177</t>
  </si>
  <si>
    <t>chodby-předsíň</t>
  </si>
  <si>
    <t>6,72+6,72+5,6</t>
  </si>
  <si>
    <t>Dlažba keramická ,chodby-předsíň</t>
  </si>
  <si>
    <t>30,8</t>
  </si>
  <si>
    <t>Dlažba do tmele 15 x 15</t>
  </si>
  <si>
    <t xml:space="preserve"> dlažba ve specifikaci,lodžie</t>
  </si>
  <si>
    <t>3,27*2</t>
  </si>
  <si>
    <t>Dlažba keramická mrazuvzdorná,lodžie</t>
  </si>
  <si>
    <t>7,194</t>
  </si>
  <si>
    <t>Podlahy vlysové a parketové</t>
  </si>
  <si>
    <t>Fólie PE pod lamelové podlahy</t>
  </si>
  <si>
    <t>(15,94+10,25+6,72+19,24+14,73+14,04+12,08+10,08+20,74+21,93+13,45)*1,1</t>
  </si>
  <si>
    <t>Kladení podlah lamelových na podkladní rohož</t>
  </si>
  <si>
    <t>Podlaha lamin.  1285x192x8 mm</t>
  </si>
  <si>
    <t>15,94+10,25+6,72+19,24+14,73+14,04+12,08+10,08+20,74+21,93+13,45+15,92</t>
  </si>
  <si>
    <t>Podkladní rohož 3 mm pod lamelové podlahy</t>
  </si>
  <si>
    <t>Podlahové lišty připevněné vruty, BK 8/1,5 cm</t>
  </si>
  <si>
    <t>PVC nebo plovoucí podlahy</t>
  </si>
  <si>
    <t>Obklady (keramické)</t>
  </si>
  <si>
    <t>Obklad vnitřní stěn keramický, do tmele, 15x15 cm</t>
  </si>
  <si>
    <t>8*2*3</t>
  </si>
  <si>
    <t>(0,9*2+1,5)*3</t>
  </si>
  <si>
    <t>3*0,7*3</t>
  </si>
  <si>
    <t>-0,6*2*3</t>
  </si>
  <si>
    <t>Lišta hliníková rohová k obkladům</t>
  </si>
  <si>
    <t>profil RB, pro tloušťku obkladu 8 mm</t>
  </si>
  <si>
    <t>Obklad keramický</t>
  </si>
  <si>
    <t>66,66</t>
  </si>
  <si>
    <t>Odsekání obkladů vnitřních</t>
  </si>
  <si>
    <t>-0,6*2*3   ODEČET OTVORY</t>
  </si>
  <si>
    <t>rozměry VIZ POLOŽKA č.80</t>
  </si>
  <si>
    <t>2x nátěr, 1x penetrace</t>
  </si>
  <si>
    <t>11,07+178,24+384,9</t>
  </si>
  <si>
    <t>Stavební přípomoce pro ZTI a ÚT</t>
  </si>
  <si>
    <t>Stavební přípomoce pro HSV</t>
  </si>
  <si>
    <t>vyklízení odpadů z BJ</t>
  </si>
  <si>
    <t>Bourání konstrukcí</t>
  </si>
  <si>
    <t>Vyvěšení dřevěných dveřních křídel pl. do 2 m2</t>
  </si>
  <si>
    <t>Bourání lehkých příček</t>
  </si>
  <si>
    <t>předstěna stoupaček</t>
  </si>
  <si>
    <t>3,12*3</t>
  </si>
  <si>
    <t>-0,6*0,6*3</t>
  </si>
  <si>
    <t>Vybourání kovových dveřních zárubní pl. do 2 m2</t>
  </si>
  <si>
    <t>BYTY</t>
  </si>
  <si>
    <t>Vybourání vodovod., plynového vedení DN do 125 mm</t>
  </si>
  <si>
    <t>Vybourání kanalizačního potrubí DN do 100 mm</t>
  </si>
  <si>
    <t>Vybourání keramické nebo teracové dlažby</t>
  </si>
  <si>
    <t>2,47*2+2,35</t>
  </si>
  <si>
    <t>1,4*0,9*3</t>
  </si>
  <si>
    <t>Vybourání koupelnových buňek</t>
  </si>
  <si>
    <t>VSTUP BYTY</t>
  </si>
  <si>
    <t>Prorážení otvorů a ostatní bourací práce</t>
  </si>
  <si>
    <t>Vysekání rýh v betonových zdech 3x3 cm</t>
  </si>
  <si>
    <t>Řezání prostého betonu hl. řezu 100 mm</t>
  </si>
  <si>
    <t>úprava nadpraží bytových dveřních otvorů</t>
  </si>
  <si>
    <t>Přesun hmot pro budovy zděné výšky do 12 m</t>
  </si>
  <si>
    <t>Přesun hmot pro izolace proti vodě, výšky do 12 m</t>
  </si>
  <si>
    <t>Přesun hmot pro izolace tepelné, výšky do 12 m</t>
  </si>
  <si>
    <t>Zdravotně technické instalace</t>
  </si>
  <si>
    <t>Přesun hmot pro vzduchotechniku, výšky do 12 m</t>
  </si>
  <si>
    <t>Přesun hmot pro vnitřní kanalizaci, výšky do 12 m</t>
  </si>
  <si>
    <t>Přesun hmot pro vnitřní vodovod, výšky do 12 m</t>
  </si>
  <si>
    <t>Přesun hmot pro zařizovací předměty, výšky do 12 m</t>
  </si>
  <si>
    <t>Přesun hmot pro kotelny, výšky do 12 m</t>
  </si>
  <si>
    <t>Přesun hmot pro rozvody potrubí, výšky do 6 m</t>
  </si>
  <si>
    <t>Přesun hmot pro otopná tělesa, výšky do 12 m</t>
  </si>
  <si>
    <t>Přesun hmot pro podlahové vytápění, výšky do 12 m</t>
  </si>
  <si>
    <t>Přesun hmot pro truhlářské konstr., výšky do 12 m</t>
  </si>
  <si>
    <t>Přesun hmot pro zámečnické konstr., výšky do 12 m</t>
  </si>
  <si>
    <t>Přesun hmot pro podlahy z dlaždic, výšky do 12 m</t>
  </si>
  <si>
    <t>Přesun hmot pro podlahy vlysové, výšky do 12 m</t>
  </si>
  <si>
    <t>Přesun hmot pro podlahy povlakové, výšky do 12 m</t>
  </si>
  <si>
    <t>Přesun hmot pro obklady keramické, výšky do 12 m</t>
  </si>
  <si>
    <t>Zásuvka bytová</t>
  </si>
  <si>
    <t>Strojek spínače stříd.2x bytového řaz.6+6</t>
  </si>
  <si>
    <t>Zásuvka telefonní dvojitá</t>
  </si>
  <si>
    <t>Vodič  3Cx1,5 mm2</t>
  </si>
  <si>
    <t>Svorka na potrubí , včetně Cu pásku</t>
  </si>
  <si>
    <t>Kabel silový s Cu jádrem 750 V CYKY 4D x 1,5 mm2</t>
  </si>
  <si>
    <t>Kabel silový s Cu jádrem 750 V CYKY 4 x10 mm2</t>
  </si>
  <si>
    <t>Kabel silový s Cu jádrem 750 V CYKY 2 x 1,5 mm2</t>
  </si>
  <si>
    <t>Rozvaděč elektroměrový vč.výzbroje</t>
  </si>
  <si>
    <t>Spínač sporákový zapuštěný 400V</t>
  </si>
  <si>
    <t>|Demontáž stávajících rozvodů a zařízení</t>
  </si>
  <si>
    <t>Zednické přípomoce</t>
  </si>
  <si>
    <t>2x0,75 UP pod omítku-termostat</t>
  </si>
  <si>
    <t>Svorka ZS 4</t>
  </si>
  <si>
    <t>Účastnická zásuvka TV+R koncová pod omítku</t>
  </si>
  <si>
    <t>Optickokouřový senzor</t>
  </si>
  <si>
    <t>Ventilátor axiální do koupelny a WC 100</t>
  </si>
  <si>
    <t>2.NP</t>
  </si>
  <si>
    <t>3,124*2,65</t>
  </si>
  <si>
    <t>montáž rozvodů kanalizace v bytech č.4-6, vč. bytových stoupaček</t>
  </si>
  <si>
    <t>demontáž rozvodů kanalizace v bytech č.4-6, vč. bytových stoupaček</t>
  </si>
  <si>
    <t>montáž rozvodů vody v bytech č.4-6, vč. bytových stoupaček</t>
  </si>
  <si>
    <t>demontáž rozvodů vody v bytech č.4-6, vč. bytových stoupaček</t>
  </si>
  <si>
    <t>Trubka třívrstvá vodovodní  20x2,3x4000 mm</t>
  </si>
  <si>
    <t>Trubka vodovodní  D25x2,8</t>
  </si>
  <si>
    <t>Mřížka  ochranná  fasádní vel. 150x150 mm</t>
  </si>
  <si>
    <t>stavební přípomoce pro montáž VZT</t>
  </si>
  <si>
    <t>Klapka kruhová DN100,na ohebné potrubí,ovl. ruční plast</t>
  </si>
  <si>
    <t>175,12</t>
  </si>
  <si>
    <t>Dveře vnitřní fólie  plné 1kř. 60x197 bílé</t>
  </si>
  <si>
    <t>rozměry VIZ POLOŽKA č.283</t>
  </si>
  <si>
    <t>Penetrace podkladu hloubková  1x</t>
  </si>
  <si>
    <t>Vybourání okenních rámů prefa beton. plochy do 1m2</t>
  </si>
  <si>
    <t>Zásuvka  bytová</t>
  </si>
  <si>
    <t>Ostatní materiál</t>
  </si>
  <si>
    <t>SPOLEČNÉ PROSTORY</t>
  </si>
  <si>
    <t>Kanalizace vnitřní, centrální rozvody</t>
  </si>
  <si>
    <t>Oprava a napojení kanalizační přípojky</t>
  </si>
  <si>
    <t>Hydrantový systém, box nerez</t>
  </si>
  <si>
    <t>průměr 25/20, stálotvará hadice,vč.stoupaček a napojení</t>
  </si>
  <si>
    <t>Montáž hydrantového systému D25</t>
  </si>
  <si>
    <t>Demontáž hydrantových skříní</t>
  </si>
  <si>
    <t>Vodovod, centrální rozvody</t>
  </si>
  <si>
    <t>Oprava zábradlí schodištové, dl. 6m, madlo, nátěry, kotvení</t>
  </si>
  <si>
    <t>Podlahy z litého teraca</t>
  </si>
  <si>
    <t>Broušení teracových podlah dvojnásobné</t>
  </si>
  <si>
    <t>CHODBY,SCHODY</t>
  </si>
  <si>
    <t>3,45*1,4*4</t>
  </si>
  <si>
    <t>32*1,4*0,7</t>
  </si>
  <si>
    <t>(9,6*2,6+7,9*2,8)*2</t>
  </si>
  <si>
    <t>3,45*1,4*2</t>
  </si>
  <si>
    <t>3,45*4,7*2</t>
  </si>
  <si>
    <t>Bourání zdiva komínového z cihel na MC</t>
  </si>
  <si>
    <t>Elektroinstalace, centrální rozvody od HDR k bytovým rozvaděčům</t>
  </si>
  <si>
    <t>AYKY 4x50, AYKY 5x35, CYKY 5Jx10</t>
  </si>
  <si>
    <t>Hlavní domovní rozvaděč</t>
  </si>
  <si>
    <t>specifikace : přepěťová ochrana OVR T2 4L 40 275P, jističe : S 203 M B50, pojist.odpínač FH000 3A/T,
svorkovnice RSA50,35,10, nožová pojistka PN000 8A gG, montážní materiál CYKY 35,10, pojistka válcová  OPV22/3+N PV 50AgG</t>
  </si>
  <si>
    <t>D+M, Svítidlo nouzové , 11 W,3 h</t>
  </si>
  <si>
    <t>STŘECHA,FASÁDA,VÝPLNĚ OTVORŮ</t>
  </si>
  <si>
    <t>Zdi podpěrné a volné</t>
  </si>
  <si>
    <t>Zazdívka otvorů do 1 m2, pórobet.tvárnice, tl.25cm</t>
  </si>
  <si>
    <t>sklep</t>
  </si>
  <si>
    <t>1*0,8*0,25</t>
  </si>
  <si>
    <t>Úprava povrchů vnější</t>
  </si>
  <si>
    <t>Zateplovací systém , sokl, XPS tl. 160 mm</t>
  </si>
  <si>
    <t>zakončený stěrkou s výztužnou tkaninou</t>
  </si>
  <si>
    <t>178,5*0,3</t>
  </si>
  <si>
    <t>Omítka stěn  marmolit střednězrnná</t>
  </si>
  <si>
    <t>VCHOD</t>
  </si>
  <si>
    <t>31,25*0,8</t>
  </si>
  <si>
    <t>Zatepl.syst. , fasáda, miner.desky KV 200 mm</t>
  </si>
  <si>
    <t>556,25</t>
  </si>
  <si>
    <t>-(70,56)+(1*0,75*5)+(0,9*2,1*4)   ODEČET OKNA</t>
  </si>
  <si>
    <t>-(1,6*2+4,625)   ODEČET VCHODY</t>
  </si>
  <si>
    <t>-53,55   ODEČET SOKL</t>
  </si>
  <si>
    <t>Zatepl.syst. , ostění, miner.desky KV 30 mm</t>
  </si>
  <si>
    <t>(1,6+1,6+2,1)*21*0,3</t>
  </si>
  <si>
    <t>Soklová lišta KZS  tl. 200 mm</t>
  </si>
  <si>
    <t>22,07+22,07+11,4+11,4</t>
  </si>
  <si>
    <t>Omítka vnější stěn, MC, hrubá zatřená</t>
  </si>
  <si>
    <t>Očištění fasád tlakovou vodou složitost 1 - 2</t>
  </si>
  <si>
    <t>435,625+33,39+53,55</t>
  </si>
  <si>
    <t>Doplňky zatepl. systémů, podparapetní lišta s tkan</t>
  </si>
  <si>
    <t>21*2,1</t>
  </si>
  <si>
    <t>Příplatek za okenní lištu (APU) - montáž</t>
  </si>
  <si>
    <t>včetně dodávky lišty</t>
  </si>
  <si>
    <t>(1,6+1,6+2,1)*21</t>
  </si>
  <si>
    <t>(2+0,9)*4</t>
  </si>
  <si>
    <t>Omítka stěn tenkovrstvá minerální bílá</t>
  </si>
  <si>
    <t>zatíraná , tloušťka vrstvy 1,5 mm</t>
  </si>
  <si>
    <t>435,625+33,39</t>
  </si>
  <si>
    <t>Penetrace hloubková stěn pod tenkovrstvé omítky</t>
  </si>
  <si>
    <t>D+M,Lišta rohová AL s tkaninou 10/23 /2,5m</t>
  </si>
  <si>
    <t>8,41*4+3*4+2,1*21+1,6*2*21+2,8*8+2,4*12+2,8*6+11,247</t>
  </si>
  <si>
    <t>Okno plastové trojkřídlé 160 x 210 cm OS+O+OS bílé</t>
  </si>
  <si>
    <t>Montáž oken plastových plochy do 4,50 m2</t>
  </si>
  <si>
    <t>Okno plastové jednodílné 75 x 100 cm O, S</t>
  </si>
  <si>
    <t>Montáž oken plastových plochy do 1,50 m2</t>
  </si>
  <si>
    <t>Dveře balkonové plastové 1křídlové 90x210 cm OS,Uw=0,79W/m2.K</t>
  </si>
  <si>
    <t>Montáž dveří jednokřídlových šířky 90 cm</t>
  </si>
  <si>
    <t>Dveře vchodové plast  800x2000 otevíravé</t>
  </si>
  <si>
    <t>Montáž dveří jednokřídlových šířky 80 cm</t>
  </si>
  <si>
    <t>Dveře vchodové plast  1650x2000(2500)s nadsvětlíkem</t>
  </si>
  <si>
    <t>Montáž dveří dvoukřídlových</t>
  </si>
  <si>
    <t>Bezp. kování  Klika-knoflík nerez mat Ti</t>
  </si>
  <si>
    <t>Montáž garážových vrat výklopných</t>
  </si>
  <si>
    <t>Vrata ocelová 746616 240x210 cm s rámem zateplená výklopná</t>
  </si>
  <si>
    <t>Izolace tepelné stropů vrchem kladené volně</t>
  </si>
  <si>
    <t>2 vrstvy - materiál ve specifikaci</t>
  </si>
  <si>
    <t>Deska z minerální plsti tl. 140 mm</t>
  </si>
  <si>
    <t>225*2</t>
  </si>
  <si>
    <t>Konstrukce tesařské</t>
  </si>
  <si>
    <t>Doplnění střešní vazby z hranolů do 224 cm2 vč.dod.</t>
  </si>
  <si>
    <t>hranolů 120 x 140 mm</t>
  </si>
  <si>
    <t>Laťování střech rozteč 22 cm</t>
  </si>
  <si>
    <t>latě 3 x 5 cm, včetně dodávky řeziva</t>
  </si>
  <si>
    <t>Konstrukce klempířské</t>
  </si>
  <si>
    <t>Demontáž krytiny střech</t>
  </si>
  <si>
    <t>z plechu pozinkovaného</t>
  </si>
  <si>
    <t>6,05*22,5*2</t>
  </si>
  <si>
    <t>Hřebenáč z poplastovaného plechu střech jednoduchých</t>
  </si>
  <si>
    <t>Kotlík žlabový kónický z poplastovaného plechu ,vel.žlabu 150 mm</t>
  </si>
  <si>
    <t>Odpadní trouby kruhové z poplastovaného plechu , D 100 mm</t>
  </si>
  <si>
    <t>8,4*4</t>
  </si>
  <si>
    <t>Štítové lemování vrchní z poplastovaného plechu, tl. 0,5 mm</t>
  </si>
  <si>
    <t>6,05*4</t>
  </si>
  <si>
    <t>Žlab podokapní půlkruhový z poplastovaného plechu R,velikost 150 mm</t>
  </si>
  <si>
    <t>Izolační paropropustná folie (membrána)</t>
  </si>
  <si>
    <t>272,25*1,1</t>
  </si>
  <si>
    <t>Oplechování parapetů z poplastovaného plechu, rš 330 mm</t>
  </si>
  <si>
    <t>2,1*21</t>
  </si>
  <si>
    <t>Pás větrací hřebene  75x1000 mm</t>
  </si>
  <si>
    <t>Pás větrací ochranný  80x5000 mm</t>
  </si>
  <si>
    <t>Sněhový rozražeč , do dřeva</t>
  </si>
  <si>
    <t>Střešní vikýř, rozměr 600x600 mm</t>
  </si>
  <si>
    <t>Zastřešení hladkými poplastovanými plechy, do 30°</t>
  </si>
  <si>
    <t>Manžeta prostupová   32 - 76 mm</t>
  </si>
  <si>
    <t>Manžeta prostupová  76 - 152 mm</t>
  </si>
  <si>
    <t>Demontáž oplechování parapetů</t>
  </si>
  <si>
    <t>Demontáž oplechování říms,rš od 250 do 330 mm</t>
  </si>
  <si>
    <t>Oplechování říms z poplastovaného plechu, rš. 330 mm</t>
  </si>
  <si>
    <t>Oplechování lodžií z poplastovaného plechu, rš. 330 mm</t>
  </si>
  <si>
    <t>3,45*4</t>
  </si>
  <si>
    <t>Demontáž podokapních žlabů půlkruhových</t>
  </si>
  <si>
    <t>Demontáž háků, sklon do 30°</t>
  </si>
  <si>
    <t>Montáž háků  půlkruhových</t>
  </si>
  <si>
    <t>Hák žlabový l = 210 mm prům 150 mm</t>
  </si>
  <si>
    <t>Upevnění svodu 100 do zdi trn 150 mm</t>
  </si>
  <si>
    <t>Demontáž oplechování vchodové stříšky</t>
  </si>
  <si>
    <t>0,93*2,7</t>
  </si>
  <si>
    <t>1,2*0,4*2</t>
  </si>
  <si>
    <t>Oplechování vnějšího schodiště z poplastovaného plechu</t>
  </si>
  <si>
    <t>Oplechování vchodové stříšky z poplastovaného plechu</t>
  </si>
  <si>
    <t>Montáž doplňků dveří, samozavírače hydraulického</t>
  </si>
  <si>
    <t>Zavírač dveří hydraulický  zlatá bronz</t>
  </si>
  <si>
    <t>Nátěr syntetický OK "B" 1x + 2x email</t>
  </si>
  <si>
    <t>zábradlí lodžie</t>
  </si>
  <si>
    <t>Nátěr tesařských konstrukcí fungicidním a insekticidním přípravkem na dřevo 2x</t>
  </si>
  <si>
    <t>Přípravek poskytuje dlouhodobou ochranu proti dřevokaznému hmyzu, dřevokazným houbám a plísním. Aplikuje se natíráním. Spotřeba v exteriéru pro dvojitý nátěr 30 g/m2.</t>
  </si>
  <si>
    <t>272,25*2+160</t>
  </si>
  <si>
    <t>Demontáž lešení leh.řad.s podlahami,š.1 m, H 10 m</t>
  </si>
  <si>
    <t>22,07*2*8,5</t>
  </si>
  <si>
    <t>13,4*2*10,5</t>
  </si>
  <si>
    <t>Montáž lešení leh.řad.s podlahami,š.1,2 m, H 10 m</t>
  </si>
  <si>
    <t>Příplatek za každý měsíc použití lešení k pol.1041</t>
  </si>
  <si>
    <t>656,59*2</t>
  </si>
  <si>
    <t>Vybourání dřevěných rámů oken dvojitých pl. 2 m2</t>
  </si>
  <si>
    <t>2,1*1,6*21</t>
  </si>
  <si>
    <t>0,9*2,1*4</t>
  </si>
  <si>
    <t>1*0,75*5</t>
  </si>
  <si>
    <t>Vybourání garážových vrat</t>
  </si>
  <si>
    <t>2,4*2,1*6</t>
  </si>
  <si>
    <t>Vybourání kovových dveřních zárubní pl. nad 2 m2</t>
  </si>
  <si>
    <t>0,8*2*2</t>
  </si>
  <si>
    <t>1,85*2,5</t>
  </si>
  <si>
    <t>Přesun hmot pro tesařské konstrukce, výšky do 12 m</t>
  </si>
  <si>
    <t>Přesun hmot pro klempířské konstr., výšky do 12 m</t>
  </si>
  <si>
    <t>Hromosvod</t>
  </si>
  <si>
    <t>specifikace : jímací tyče, hromosvodový vodič vč.příchytek a spojek, měřících svorek, stěnové uchycení a napojení na zemnící soustavu.</t>
  </si>
  <si>
    <t>NÁKLADY</t>
  </si>
  <si>
    <t>Vedlejší náklady</t>
  </si>
  <si>
    <t>Zařízení staveniště - mobilní buńky</t>
  </si>
  <si>
    <t>Pronájem moblních buněk</t>
  </si>
  <si>
    <t>Zařízení staveniště - mobilní WC</t>
  </si>
  <si>
    <t>Pronájem moblních WC</t>
  </si>
  <si>
    <t>Zařízení staveniště -  provizorní oplocení</t>
  </si>
  <si>
    <t>Oplocení stavby se stojkami a plechovým opláštěním, uzavíratelná vrata. Délka oplocení 30 m</t>
  </si>
  <si>
    <t>Zařízení staveniště - Technická a strojní zařízení</t>
  </si>
  <si>
    <t>Strojní a montážní zařízení pro provádění stavebních prací , např. sbíjecí kladiva, svářecí soupravy , míchadla, vrátky  a pod.</t>
  </si>
  <si>
    <t>Provozní a dopravní náklady</t>
  </si>
  <si>
    <t>Provozní náklady , zajištění stavby. 
Doprava veškerých potřebných materiálů pro stavební a profesní práce na stavbě,  včetně  materiálů pro zabezpečení stavby, alt. použití UNC, kolový bagr a pod.)</t>
  </si>
  <si>
    <t>Inženýrská činnost</t>
  </si>
  <si>
    <t>Kontrolní a dozorová činnost v průběhu stavby včetně zajišťování legislativních činností.</t>
  </si>
  <si>
    <t>Zkoušky a revize</t>
  </si>
  <si>
    <t>Předání a převzetí díla</t>
  </si>
  <si>
    <t>Finanční náklady</t>
  </si>
  <si>
    <t>N8klady na spotřeby energií</t>
  </si>
  <si>
    <t>Doba výstavby:</t>
  </si>
  <si>
    <t>Začátek výstavby:</t>
  </si>
  <si>
    <t>Konec výstavby:</t>
  </si>
  <si>
    <t>Zpracováno dne:</t>
  </si>
  <si>
    <t>M.j.</t>
  </si>
  <si>
    <t>m2</t>
  </si>
  <si>
    <t>kus</t>
  </si>
  <si>
    <t>m</t>
  </si>
  <si>
    <t>l</t>
  </si>
  <si>
    <t>h</t>
  </si>
  <si>
    <t>t</t>
  </si>
  <si>
    <t>kpl</t>
  </si>
  <si>
    <t>soubor</t>
  </si>
  <si>
    <t>hod.</t>
  </si>
  <si>
    <t>m3</t>
  </si>
  <si>
    <t>kompl.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</si>
  <si>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</si>
  <si>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</si>
  <si>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</si>
  <si>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</si>
  <si>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</si>
  <si>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</si>
  <si>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</si>
  <si>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</si>
  <si>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</si>
  <si>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</si>
  <si>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</si>
  <si>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SBZH z.s. Zhoř u Stříbra</t>
  </si>
  <si>
    <t>Ing.Jan Brožek Nábř.Jana Rysa 41/9 Kralupy nad Vlt</t>
  </si>
  <si>
    <t>BUDE VYBRÁN VÝBĚROVÝM ŘÍZENÍM</t>
  </si>
  <si>
    <t>Ing. Jan Brožek</t>
  </si>
  <si>
    <t>Celkem</t>
  </si>
  <si>
    <t>Hmotnost (t)</t>
  </si>
  <si>
    <t>Cenová</t>
  </si>
  <si>
    <t>soustava</t>
  </si>
  <si>
    <t>RTS I / 2017</t>
  </si>
  <si>
    <t>RTS I / 2016</t>
  </si>
  <si>
    <t>RTS I / 2018</t>
  </si>
  <si>
    <t>0</t>
  </si>
  <si>
    <t>Přesuny</t>
  </si>
  <si>
    <t>Typ skupiny</t>
  </si>
  <si>
    <t>HS</t>
  </si>
  <si>
    <t>PS</t>
  </si>
  <si>
    <t>MP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</si>
  <si>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</si>
  <si>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</si>
  <si>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</si>
  <si>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</si>
  <si>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</si>
  <si>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</si>
  <si>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</si>
  <si>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</si>
  <si>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</si>
  <si>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64_</t>
  </si>
  <si>
    <t>713_</t>
  </si>
  <si>
    <t>731_</t>
  </si>
  <si>
    <t>766_</t>
  </si>
  <si>
    <t>771_</t>
  </si>
  <si>
    <t>776_</t>
  </si>
  <si>
    <t>777_</t>
  </si>
  <si>
    <t>783_</t>
  </si>
  <si>
    <t>784_</t>
  </si>
  <si>
    <t>90_</t>
  </si>
  <si>
    <t>94_</t>
  </si>
  <si>
    <t>95_</t>
  </si>
  <si>
    <t>H01_</t>
  </si>
  <si>
    <t>H731_</t>
  </si>
  <si>
    <t>H766_</t>
  </si>
  <si>
    <t>H771_</t>
  </si>
  <si>
    <t>H776_</t>
  </si>
  <si>
    <t>H777_</t>
  </si>
  <si>
    <t>M21_</t>
  </si>
  <si>
    <t>34_</t>
  </si>
  <si>
    <t>63_</t>
  </si>
  <si>
    <t>711_</t>
  </si>
  <si>
    <t>721_</t>
  </si>
  <si>
    <t>722_</t>
  </si>
  <si>
    <t>725_</t>
  </si>
  <si>
    <t>728_</t>
  </si>
  <si>
    <t>733_</t>
  </si>
  <si>
    <t>735_</t>
  </si>
  <si>
    <t>736_</t>
  </si>
  <si>
    <t>767_</t>
  </si>
  <si>
    <t>775_</t>
  </si>
  <si>
    <t>781_</t>
  </si>
  <si>
    <t>96_</t>
  </si>
  <si>
    <t>97_</t>
  </si>
  <si>
    <t>H711_</t>
  </si>
  <si>
    <t>H713_</t>
  </si>
  <si>
    <t>H72_</t>
  </si>
  <si>
    <t>H721_</t>
  </si>
  <si>
    <t>H722_</t>
  </si>
  <si>
    <t>H725_</t>
  </si>
  <si>
    <t>H733_</t>
  </si>
  <si>
    <t>H735_</t>
  </si>
  <si>
    <t>H736_</t>
  </si>
  <si>
    <t>H767_</t>
  </si>
  <si>
    <t>H775_</t>
  </si>
  <si>
    <t>H781_</t>
  </si>
  <si>
    <t>Z99999_</t>
  </si>
  <si>
    <t>773_</t>
  </si>
  <si>
    <t>31_</t>
  </si>
  <si>
    <t>62_</t>
  </si>
  <si>
    <t>762_</t>
  </si>
  <si>
    <t>764_</t>
  </si>
  <si>
    <t>H762_</t>
  </si>
  <si>
    <t>H764_</t>
  </si>
  <si>
    <t>051_</t>
  </si>
  <si>
    <t>6_</t>
  </si>
  <si>
    <t>71_</t>
  </si>
  <si>
    <t>73_</t>
  </si>
  <si>
    <t>76_</t>
  </si>
  <si>
    <t>77_</t>
  </si>
  <si>
    <t>78_</t>
  </si>
  <si>
    <t>9_</t>
  </si>
  <si>
    <t>3_</t>
  </si>
  <si>
    <t>72_</t>
  </si>
  <si>
    <t>Z_</t>
  </si>
  <si>
    <t>0_</t>
  </si>
  <si>
    <t>01_</t>
  </si>
  <si>
    <t>02_</t>
  </si>
  <si>
    <t>03_</t>
  </si>
  <si>
    <t>04_</t>
  </si>
  <si>
    <t>05_</t>
  </si>
  <si>
    <t>06_</t>
  </si>
  <si>
    <t>Slepý 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</si>
  <si>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</si>
  <si>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</si>
  <si>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</si>
  <si>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</si>
  <si>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</si>
  <si>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T</t>
  </si>
  <si>
    <t>F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</si>
  <si>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</si>
  <si>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</si>
  <si>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</si>
  <si>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</si>
  <si>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</si>
  <si>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</si>
  <si>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</si>
  <si>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</si>
  <si>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</si>
  <si>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</si>
  <si>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</si>
  <si>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</si>
  <si>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</si>
  <si>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</si>
  <si>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</si>
  <si>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</si>
  <si>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</si>
  <si>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</si>
  <si>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</si>
  <si>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</si>
  <si>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</si>
  <si>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</si>
  <si>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</si>
  <si>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</si>
  <si>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</si>
  <si>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</si>
  <si>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</si>
  <si>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</si>
  <si>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</si>
  <si>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</si>
  <si>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</si>
  <si>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</si>
  <si>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</si>
  <si>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</si>
  <si>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</si>
  <si>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</si>
  <si>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</si>
  <si>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</si>
  <si>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</si>
  <si>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</si>
  <si>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</si>
  <si>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</si>
  <si>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</si>
  <si>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01873032/</t>
  </si>
  <si>
    <t>66406293/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</si>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</sst>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2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7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14" fillId="35" borderId="29" xfId="0" applyNumberFormat="1" applyFont="1" applyFill="1" applyBorder="1" applyAlignment="1" applyProtection="1">
      <alignment horizontal="center" vertical="center"/>
      <protection/>
    </xf>
    <xf numFmtId="49" fontId="15" fillId="0" borderId="30" xfId="0" applyNumberFormat="1" applyFont="1" applyFill="1" applyBorder="1" applyAlignment="1" applyProtection="1">
      <alignment horizontal="left" vertical="center"/>
      <protection/>
    </xf>
    <xf numFmtId="49" fontId="15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9" fontId="16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6" fillId="0" borderId="29" xfId="0" applyNumberFormat="1" applyFont="1" applyFill="1" applyBorder="1" applyAlignment="1" applyProtection="1">
      <alignment horizontal="right" vertical="center"/>
      <protection/>
    </xf>
    <xf numFmtId="49" fontId="16" fillId="0" borderId="29" xfId="0" applyNumberFormat="1" applyFont="1" applyFill="1" applyBorder="1" applyAlignment="1" applyProtection="1">
      <alignment horizontal="right" vertical="center"/>
      <protection/>
    </xf>
    <xf numFmtId="4" fontId="16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5" fillId="35" borderId="37" xfId="0" applyNumberFormat="1" applyFont="1" applyFill="1" applyBorder="1" applyAlignment="1" applyProtection="1">
      <alignment horizontal="right"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9" fontId="3" fillId="0" borderId="40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right" vertical="center"/>
      <protection/>
    </xf>
    <xf numFmtId="4" fontId="3" fillId="0" borderId="41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0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49" fontId="13" fillId="0" borderId="49" xfId="0" applyNumberFormat="1" applyFont="1" applyFill="1" applyBorder="1" applyAlignment="1" applyProtection="1">
      <alignment horizontal="center" vertical="center"/>
      <protection/>
    </xf>
    <xf numFmtId="0" fontId="13" fillId="0" borderId="49" xfId="0" applyNumberFormat="1" applyFont="1" applyFill="1" applyBorder="1" applyAlignment="1" applyProtection="1">
      <alignment horizontal="center" vertical="center"/>
      <protection/>
    </xf>
    <xf numFmtId="49" fontId="17" fillId="0" borderId="50" xfId="0" applyNumberFormat="1" applyFont="1" applyFill="1" applyBorder="1" applyAlignment="1" applyProtection="1">
      <alignment horizontal="left" vertical="center"/>
      <protection/>
    </xf>
    <xf numFmtId="0" fontId="17" fillId="0" borderId="37" xfId="0" applyNumberFormat="1" applyFont="1" applyFill="1" applyBorder="1" applyAlignment="1" applyProtection="1">
      <alignment horizontal="left" vertical="center"/>
      <protection/>
    </xf>
    <xf numFmtId="49" fontId="16" fillId="0" borderId="50" xfId="0" applyNumberFormat="1" applyFont="1" applyFill="1" applyBorder="1" applyAlignment="1" applyProtection="1">
      <alignment horizontal="left" vertical="center"/>
      <protection/>
    </xf>
    <xf numFmtId="0" fontId="16" fillId="0" borderId="37" xfId="0" applyNumberFormat="1" applyFont="1" applyFill="1" applyBorder="1" applyAlignment="1" applyProtection="1">
      <alignment horizontal="left" vertical="center"/>
      <protection/>
    </xf>
    <xf numFmtId="49" fontId="15" fillId="0" borderId="50" xfId="0" applyNumberFormat="1" applyFont="1" applyFill="1" applyBorder="1" applyAlignment="1" applyProtection="1">
      <alignment horizontal="left" vertical="center"/>
      <protection/>
    </xf>
    <xf numFmtId="0" fontId="15" fillId="0" borderId="37" xfId="0" applyNumberFormat="1" applyFont="1" applyFill="1" applyBorder="1" applyAlignment="1" applyProtection="1">
      <alignment horizontal="left" vertical="center"/>
      <protection/>
    </xf>
    <xf numFmtId="49" fontId="15" fillId="35" borderId="50" xfId="0" applyNumberFormat="1" applyFont="1" applyFill="1" applyBorder="1" applyAlignment="1" applyProtection="1">
      <alignment horizontal="left" vertical="center"/>
      <protection/>
    </xf>
    <xf numFmtId="0" fontId="15" fillId="35" borderId="49" xfId="0" applyNumberFormat="1" applyFont="1" applyFill="1" applyBorder="1" applyAlignment="1" applyProtection="1">
      <alignment horizontal="left" vertical="center"/>
      <protection/>
    </xf>
    <xf numFmtId="49" fontId="16" fillId="0" borderId="51" xfId="0" applyNumberFormat="1" applyFont="1" applyFill="1" applyBorder="1" applyAlignment="1" applyProtection="1">
      <alignment horizontal="left" vertical="center"/>
      <protection/>
    </xf>
    <xf numFmtId="0" fontId="16" fillId="0" borderId="12" xfId="0" applyNumberFormat="1" applyFont="1" applyFill="1" applyBorder="1" applyAlignment="1" applyProtection="1">
      <alignment horizontal="left" vertical="center"/>
      <protection/>
    </xf>
    <xf numFmtId="0" fontId="16" fillId="0" borderId="52" xfId="0" applyNumberFormat="1" applyFont="1" applyFill="1" applyBorder="1" applyAlignment="1" applyProtection="1">
      <alignment horizontal="left" vertical="center"/>
      <protection/>
    </xf>
    <xf numFmtId="49" fontId="16" fillId="0" borderId="25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53" xfId="0" applyNumberFormat="1" applyFont="1" applyFill="1" applyBorder="1" applyAlignment="1" applyProtection="1">
      <alignment horizontal="left" vertical="center"/>
      <protection/>
    </xf>
    <xf numFmtId="49" fontId="16" fillId="0" borderId="54" xfId="0" applyNumberFormat="1" applyFont="1" applyFill="1" applyBorder="1" applyAlignment="1" applyProtection="1">
      <alignment horizontal="left" vertical="center"/>
      <protection/>
    </xf>
    <xf numFmtId="0" fontId="16" fillId="0" borderId="39" xfId="0" applyNumberFormat="1" applyFont="1" applyFill="1" applyBorder="1" applyAlignment="1" applyProtection="1">
      <alignment horizontal="left" vertical="center"/>
      <protection/>
    </xf>
    <xf numFmtId="0" fontId="16" fillId="0" borderId="55" xfId="0" applyNumberFormat="1" applyFont="1" applyFill="1" applyBorder="1" applyAlignment="1" applyProtection="1">
      <alignment horizontal="left" vertical="center"/>
      <protection/>
    </xf>
    <xf numFmtId="49" fontId="15" fillId="0" borderId="39" xfId="0" applyNumberFormat="1" applyFont="1" applyFill="1" applyBorder="1" applyAlignment="1" applyProtection="1">
      <alignment horizontal="left" vertical="center"/>
      <protection/>
    </xf>
    <xf numFmtId="0" fontId="15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59" xfId="0" applyNumberFormat="1" applyFont="1" applyFill="1" applyBorder="1" applyAlignment="1" applyProtection="1">
      <alignment horizontal="left" vertical="center"/>
      <protection/>
    </xf>
    <xf numFmtId="49" fontId="15" fillId="0" borderId="58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0" fontId="15" fillId="0" borderId="59" xfId="0" applyNumberFormat="1" applyFont="1" applyFill="1" applyBorder="1" applyAlignment="1" applyProtection="1">
      <alignment horizontal="left" vertical="center"/>
      <protection/>
    </xf>
    <xf numFmtId="4" fontId="15" fillId="0" borderId="58" xfId="0" applyNumberFormat="1" applyFont="1" applyFill="1" applyBorder="1" applyAlignment="1" applyProtection="1">
      <alignment horizontal="right" vertical="center"/>
      <protection/>
    </xf>
    <xf numFmtId="0" fontId="15" fillId="0" borderId="38" xfId="0" applyNumberFormat="1" applyFont="1" applyFill="1" applyBorder="1" applyAlignment="1" applyProtection="1">
      <alignment horizontal="right" vertical="center"/>
      <protection/>
    </xf>
    <xf numFmtId="0" fontId="15" fillId="0" borderId="59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16"/>
  <sheetViews>
    <sheetView tabSelected="1" zoomScalePageLayoutView="0" workbookViewId="0" topLeftCell="A1">
      <selection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90.57421875" style="0" customWidth="1"/>
    <col min="5" max="5" width="8.8515625" style="0" customWidth="1"/>
    <col min="6" max="6" width="12.710937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7" width="9.7109375" style="0" hidden="1" customWidth="1"/>
  </cols>
  <sheetData>
    <row r="1" spans="1:13" ht="72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4" ht="12.75">
      <c r="A2" s="82" t="s">
        <v>1</v>
      </c>
      <c r="B2" s="83"/>
      <c r="C2" s="83"/>
      <c r="D2" s="86" t="s">
        <v>952</v>
      </c>
      <c r="E2" s="88" t="s">
        <v>1488</v>
      </c>
      <c r="F2" s="83"/>
      <c r="G2" s="88"/>
      <c r="H2" s="83"/>
      <c r="I2" s="89" t="s">
        <v>1510</v>
      </c>
      <c r="J2" s="89" t="s">
        <v>1515</v>
      </c>
      <c r="K2" s="83"/>
      <c r="L2" s="83"/>
      <c r="M2" s="90"/>
      <c r="N2" s="37"/>
    </row>
    <row r="3" spans="1:14" ht="12.75" customHeight="1">
      <c r="A3" s="84"/>
      <c r="B3" s="85"/>
      <c r="C3" s="85"/>
      <c r="D3" s="87"/>
      <c r="E3" s="85"/>
      <c r="F3" s="85"/>
      <c r="G3" s="85"/>
      <c r="H3" s="85"/>
      <c r="I3" s="85"/>
      <c r="J3" s="85"/>
      <c r="K3" s="85"/>
      <c r="L3" s="85"/>
      <c r="M3" s="91"/>
      <c r="N3" s="37"/>
    </row>
    <row r="4" spans="1:14" ht="12.75">
      <c r="A4" s="92" t="s">
        <v>2</v>
      </c>
      <c r="B4" s="85"/>
      <c r="C4" s="85"/>
      <c r="D4" s="93" t="s">
        <v>953</v>
      </c>
      <c r="E4" s="94" t="s">
        <v>1489</v>
      </c>
      <c r="F4" s="85"/>
      <c r="G4" s="94" t="s">
        <v>6</v>
      </c>
      <c r="H4" s="85"/>
      <c r="I4" s="93" t="s">
        <v>1511</v>
      </c>
      <c r="J4" s="93" t="s">
        <v>1516</v>
      </c>
      <c r="K4" s="85"/>
      <c r="L4" s="85"/>
      <c r="M4" s="91"/>
      <c r="N4" s="37"/>
    </row>
    <row r="5" spans="1:14" ht="12.75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91"/>
      <c r="N5" s="37"/>
    </row>
    <row r="6" spans="1:14" ht="12.75">
      <c r="A6" s="92" t="s">
        <v>3</v>
      </c>
      <c r="B6" s="85"/>
      <c r="C6" s="85"/>
      <c r="D6" s="93" t="s">
        <v>954</v>
      </c>
      <c r="E6" s="94" t="s">
        <v>1490</v>
      </c>
      <c r="F6" s="85"/>
      <c r="G6" s="85"/>
      <c r="H6" s="85"/>
      <c r="I6" s="93" t="s">
        <v>1512</v>
      </c>
      <c r="J6" s="93" t="s">
        <v>1517</v>
      </c>
      <c r="K6" s="85"/>
      <c r="L6" s="85"/>
      <c r="M6" s="91"/>
      <c r="N6" s="37"/>
    </row>
    <row r="7" spans="1:14" ht="12.7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91"/>
      <c r="N7" s="37"/>
    </row>
    <row r="8" spans="1:14" ht="12.75">
      <c r="A8" s="92" t="s">
        <v>4</v>
      </c>
      <c r="B8" s="85"/>
      <c r="C8" s="85"/>
      <c r="D8" s="93"/>
      <c r="E8" s="94" t="s">
        <v>1491</v>
      </c>
      <c r="F8" s="85"/>
      <c r="G8" s="97">
        <v>43085</v>
      </c>
      <c r="H8" s="85"/>
      <c r="I8" s="93" t="s">
        <v>1513</v>
      </c>
      <c r="J8" s="93" t="s">
        <v>1518</v>
      </c>
      <c r="K8" s="85"/>
      <c r="L8" s="85"/>
      <c r="M8" s="91"/>
      <c r="N8" s="37"/>
    </row>
    <row r="9" spans="1:14" ht="12.75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8"/>
      <c r="N9" s="37"/>
    </row>
    <row r="10" spans="1:14" ht="12.75">
      <c r="A10" s="1" t="s">
        <v>5</v>
      </c>
      <c r="B10" s="11" t="s">
        <v>587</v>
      </c>
      <c r="C10" s="11" t="s">
        <v>594</v>
      </c>
      <c r="D10" s="11" t="s">
        <v>955</v>
      </c>
      <c r="E10" s="11" t="s">
        <v>1492</v>
      </c>
      <c r="F10" s="21" t="s">
        <v>1504</v>
      </c>
      <c r="G10" s="25" t="s">
        <v>1505</v>
      </c>
      <c r="H10" s="99" t="s">
        <v>1507</v>
      </c>
      <c r="I10" s="100"/>
      <c r="J10" s="101"/>
      <c r="K10" s="99" t="s">
        <v>1520</v>
      </c>
      <c r="L10" s="101"/>
      <c r="M10" s="33" t="s">
        <v>1521</v>
      </c>
      <c r="N10" s="38"/>
    </row>
    <row r="11" spans="1:24" ht="12.75">
      <c r="A11" s="2" t="s">
        <v>6</v>
      </c>
      <c r="B11" s="12" t="s">
        <v>6</v>
      </c>
      <c r="C11" s="12" t="s">
        <v>6</v>
      </c>
      <c r="D11" s="16" t="s">
        <v>956</v>
      </c>
      <c r="E11" s="12" t="s">
        <v>6</v>
      </c>
      <c r="F11" s="12" t="s">
        <v>6</v>
      </c>
      <c r="G11" s="26" t="s">
        <v>1506</v>
      </c>
      <c r="H11" s="27" t="s">
        <v>1508</v>
      </c>
      <c r="I11" s="28" t="s">
        <v>1514</v>
      </c>
      <c r="J11" s="29" t="s">
        <v>1519</v>
      </c>
      <c r="K11" s="27" t="s">
        <v>1505</v>
      </c>
      <c r="L11" s="29" t="s">
        <v>1519</v>
      </c>
      <c r="M11" s="34" t="s">
        <v>1522</v>
      </c>
      <c r="N11" s="38"/>
      <c r="P11" s="31" t="s">
        <v>1527</v>
      </c>
      <c r="Q11" s="31" t="s">
        <v>1528</v>
      </c>
      <c r="R11" s="31" t="s">
        <v>1533</v>
      </c>
      <c r="S11" s="31" t="s">
        <v>1534</v>
      </c>
      <c r="T11" s="31" t="s">
        <v>1535</v>
      </c>
      <c r="U11" s="31" t="s">
        <v>1536</v>
      </c>
      <c r="V11" s="31" t="s">
        <v>1537</v>
      </c>
      <c r="W11" s="31" t="s">
        <v>1538</v>
      </c>
      <c r="X11" s="31" t="s">
        <v>1539</v>
      </c>
    </row>
    <row r="12" spans="1:13" ht="12.75">
      <c r="A12" s="3"/>
      <c r="B12" s="13" t="s">
        <v>588</v>
      </c>
      <c r="C12" s="13"/>
      <c r="D12" s="102" t="s">
        <v>957</v>
      </c>
      <c r="E12" s="103"/>
      <c r="F12" s="103"/>
      <c r="G12" s="103"/>
      <c r="H12" s="41">
        <f>H13+H34+H41+H47+H60+H68+H73+H76+H78+H82+H88+H91+H94+H97+H99+H101+H103+H105+H107+H109</f>
        <v>0</v>
      </c>
      <c r="I12" s="41">
        <f>I13+I34+I41+I47+I60+I68+I73+I76+I78+I82+I88+I91+I94+I97+I99+I101+I103+I105+I107+I109</f>
        <v>0</v>
      </c>
      <c r="J12" s="41">
        <f>H12+I12</f>
        <v>0</v>
      </c>
      <c r="K12" s="30"/>
      <c r="L12" s="41">
        <f>L13+L34+L41+L47+L60+L68+L73+L76+L78+L82+L88+L91+L94+L97+L99+L101+L103+L105+L107+L109</f>
        <v>14.643194000000005</v>
      </c>
      <c r="M12" s="30"/>
    </row>
    <row r="13" spans="1:37" ht="12.75">
      <c r="A13" s="4"/>
      <c r="B13" s="14" t="s">
        <v>588</v>
      </c>
      <c r="C13" s="14" t="s">
        <v>67</v>
      </c>
      <c r="D13" s="104" t="s">
        <v>958</v>
      </c>
      <c r="E13" s="105"/>
      <c r="F13" s="105"/>
      <c r="G13" s="105"/>
      <c r="H13" s="42">
        <f>SUM(H14:H31)</f>
        <v>0</v>
      </c>
      <c r="I13" s="42">
        <f>SUM(I14:I31)</f>
        <v>0</v>
      </c>
      <c r="J13" s="42">
        <f>H13+I13</f>
        <v>0</v>
      </c>
      <c r="K13" s="31"/>
      <c r="L13" s="42">
        <f>SUM(L14:L31)</f>
        <v>7.3367085</v>
      </c>
      <c r="M13" s="31"/>
      <c r="P13" s="42">
        <f>IF(Q13="PR",J13,SUM(O14:O31))</f>
        <v>0</v>
      </c>
      <c r="Q13" s="31" t="s">
        <v>1529</v>
      </c>
      <c r="R13" s="42">
        <f>IF(Q13="HS",H13,0)</f>
        <v>0</v>
      </c>
      <c r="S13" s="42">
        <f>IF(Q13="HS",I13-P13,0)</f>
        <v>0</v>
      </c>
      <c r="T13" s="42">
        <f>IF(Q13="PS",H13,0)</f>
        <v>0</v>
      </c>
      <c r="U13" s="42">
        <f>IF(Q13="PS",I13-P13,0)</f>
        <v>0</v>
      </c>
      <c r="V13" s="42">
        <f>IF(Q13="MP",H13,0)</f>
        <v>0</v>
      </c>
      <c r="W13" s="42">
        <f>IF(Q13="MP",I13-P13,0)</f>
        <v>0</v>
      </c>
      <c r="X13" s="42">
        <f>IF(Q13="OM",H13,0)</f>
        <v>0</v>
      </c>
      <c r="Y13" s="31" t="s">
        <v>588</v>
      </c>
      <c r="AI13" s="42">
        <f>SUM(Z14:Z31)</f>
        <v>0</v>
      </c>
      <c r="AJ13" s="42">
        <f>SUM(AA14:AA31)</f>
        <v>0</v>
      </c>
      <c r="AK13" s="42">
        <f>SUM(AB14:AB31)</f>
        <v>0</v>
      </c>
    </row>
    <row r="14" spans="1:43" ht="12.75">
      <c r="A14" s="5" t="s">
        <v>7</v>
      </c>
      <c r="B14" s="5" t="s">
        <v>588</v>
      </c>
      <c r="C14" s="5" t="s">
        <v>595</v>
      </c>
      <c r="D14" s="5" t="s">
        <v>959</v>
      </c>
      <c r="E14" s="5" t="s">
        <v>1493</v>
      </c>
      <c r="F14" s="22">
        <v>606.73</v>
      </c>
      <c r="G14" s="22">
        <v>0</v>
      </c>
      <c r="H14" s="22">
        <f>F14*AE14</f>
        <v>0</v>
      </c>
      <c r="I14" s="22">
        <f>J14-H14</f>
        <v>0</v>
      </c>
      <c r="J14" s="22">
        <f>F14*G14</f>
        <v>0</v>
      </c>
      <c r="K14" s="22">
        <v>0.0021</v>
      </c>
      <c r="L14" s="22">
        <f>F14*K14</f>
        <v>1.274133</v>
      </c>
      <c r="M14" s="35" t="s">
        <v>1523</v>
      </c>
      <c r="N14" s="35" t="s">
        <v>7</v>
      </c>
      <c r="O14" s="22">
        <f>IF(N14="5",I14,0)</f>
        <v>0</v>
      </c>
      <c r="Z14" s="22">
        <f>IF(AD14=0,J14,0)</f>
        <v>0</v>
      </c>
      <c r="AA14" s="22">
        <f>IF(AD14=15,J14,0)</f>
        <v>0</v>
      </c>
      <c r="AB14" s="22">
        <f>IF(AD14=21,J14,0)</f>
        <v>0</v>
      </c>
      <c r="AD14" s="39">
        <v>15</v>
      </c>
      <c r="AE14" s="39">
        <f>G14*0.815916955017301</f>
        <v>0</v>
      </c>
      <c r="AF14" s="39">
        <f>G14*(1-0.815916955017301)</f>
        <v>0</v>
      </c>
      <c r="AM14" s="39">
        <f>F14*AE14</f>
        <v>0</v>
      </c>
      <c r="AN14" s="39">
        <f>F14*AF14</f>
        <v>0</v>
      </c>
      <c r="AO14" s="40" t="s">
        <v>1540</v>
      </c>
      <c r="AP14" s="40" t="s">
        <v>1596</v>
      </c>
      <c r="AQ14" s="31" t="s">
        <v>1607</v>
      </c>
    </row>
    <row r="15" spans="4:6" ht="10.5" customHeight="1">
      <c r="D15" s="17" t="s">
        <v>960</v>
      </c>
      <c r="F15" s="23">
        <v>671.32</v>
      </c>
    </row>
    <row r="16" spans="4:6" ht="10.5" customHeight="1">
      <c r="D16" s="17" t="s">
        <v>961</v>
      </c>
      <c r="F16" s="23">
        <v>-30.6</v>
      </c>
    </row>
    <row r="17" spans="4:6" ht="10.5" customHeight="1">
      <c r="D17" s="17" t="s">
        <v>962</v>
      </c>
      <c r="F17" s="23">
        <v>-30.24</v>
      </c>
    </row>
    <row r="18" spans="4:6" ht="10.5" customHeight="1">
      <c r="D18" s="17" t="s">
        <v>963</v>
      </c>
      <c r="F18" s="23">
        <v>-3.75</v>
      </c>
    </row>
    <row r="19" spans="1:43" ht="12.75">
      <c r="A19" s="5" t="s">
        <v>8</v>
      </c>
      <c r="B19" s="5" t="s">
        <v>588</v>
      </c>
      <c r="C19" s="5" t="s">
        <v>596</v>
      </c>
      <c r="D19" s="5" t="s">
        <v>964</v>
      </c>
      <c r="E19" s="5" t="s">
        <v>1493</v>
      </c>
      <c r="F19" s="22">
        <v>606.73</v>
      </c>
      <c r="G19" s="22">
        <v>0</v>
      </c>
      <c r="H19" s="22">
        <f>F19*AE19</f>
        <v>0</v>
      </c>
      <c r="I19" s="22">
        <f>J19-H19</f>
        <v>0</v>
      </c>
      <c r="J19" s="22">
        <f>F19*G19</f>
        <v>0</v>
      </c>
      <c r="K19" s="22">
        <v>0.00635</v>
      </c>
      <c r="L19" s="22">
        <f>F19*K19</f>
        <v>3.8527355</v>
      </c>
      <c r="M19" s="35" t="s">
        <v>1523</v>
      </c>
      <c r="N19" s="35" t="s">
        <v>7</v>
      </c>
      <c r="O19" s="22">
        <f>IF(N19="5",I19,0)</f>
        <v>0</v>
      </c>
      <c r="Z19" s="22">
        <f>IF(AD19=0,J19,0)</f>
        <v>0</v>
      </c>
      <c r="AA19" s="22">
        <f>IF(AD19=15,J19,0)</f>
        <v>0</v>
      </c>
      <c r="AB19" s="22">
        <f>IF(AD19=21,J19,0)</f>
        <v>0</v>
      </c>
      <c r="AD19" s="39">
        <v>15</v>
      </c>
      <c r="AE19" s="39">
        <f>G19*0.0665993945509586</f>
        <v>0</v>
      </c>
      <c r="AF19" s="39">
        <f>G19*(1-0.0665993945509586)</f>
        <v>0</v>
      </c>
      <c r="AM19" s="39">
        <f>F19*AE19</f>
        <v>0</v>
      </c>
      <c r="AN19" s="39">
        <f>F19*AF19</f>
        <v>0</v>
      </c>
      <c r="AO19" s="40" t="s">
        <v>1540</v>
      </c>
      <c r="AP19" s="40" t="s">
        <v>1596</v>
      </c>
      <c r="AQ19" s="31" t="s">
        <v>1607</v>
      </c>
    </row>
    <row r="20" spans="4:6" ht="10.5" customHeight="1">
      <c r="D20" s="17" t="s">
        <v>960</v>
      </c>
      <c r="F20" s="23">
        <v>671.32</v>
      </c>
    </row>
    <row r="21" spans="4:6" ht="10.5" customHeight="1">
      <c r="D21" s="17" t="s">
        <v>961</v>
      </c>
      <c r="F21" s="23">
        <v>-30.6</v>
      </c>
    </row>
    <row r="22" spans="4:6" ht="10.5" customHeight="1">
      <c r="D22" s="17" t="s">
        <v>962</v>
      </c>
      <c r="F22" s="23">
        <v>-30.24</v>
      </c>
    </row>
    <row r="23" spans="4:6" ht="10.5" customHeight="1">
      <c r="D23" s="17" t="s">
        <v>963</v>
      </c>
      <c r="F23" s="23">
        <v>-3.75</v>
      </c>
    </row>
    <row r="24" spans="1:43" ht="12.75">
      <c r="A24" s="5" t="s">
        <v>9</v>
      </c>
      <c r="B24" s="5" t="s">
        <v>588</v>
      </c>
      <c r="C24" s="5" t="s">
        <v>597</v>
      </c>
      <c r="D24" s="5" t="s">
        <v>965</v>
      </c>
      <c r="E24" s="5" t="s">
        <v>1493</v>
      </c>
      <c r="F24" s="22">
        <v>184</v>
      </c>
      <c r="G24" s="22">
        <v>0</v>
      </c>
      <c r="H24" s="22">
        <f>F24*AE24</f>
        <v>0</v>
      </c>
      <c r="I24" s="22">
        <f>J24-H24</f>
        <v>0</v>
      </c>
      <c r="J24" s="22">
        <f>F24*G24</f>
        <v>0</v>
      </c>
      <c r="K24" s="22">
        <v>0.00768</v>
      </c>
      <c r="L24" s="22">
        <f>F24*K24</f>
        <v>1.41312</v>
      </c>
      <c r="M24" s="35" t="s">
        <v>1523</v>
      </c>
      <c r="N24" s="35" t="s">
        <v>7</v>
      </c>
      <c r="O24" s="22">
        <f>IF(N24="5",I24,0)</f>
        <v>0</v>
      </c>
      <c r="Z24" s="22">
        <f>IF(AD24=0,J24,0)</f>
        <v>0</v>
      </c>
      <c r="AA24" s="22">
        <f>IF(AD24=15,J24,0)</f>
        <v>0</v>
      </c>
      <c r="AB24" s="22">
        <f>IF(AD24=21,J24,0)</f>
        <v>0</v>
      </c>
      <c r="AD24" s="39">
        <v>15</v>
      </c>
      <c r="AE24" s="39">
        <f>G24*0.234564182880549</f>
        <v>0</v>
      </c>
      <c r="AF24" s="39">
        <f>G24*(1-0.234564182880549)</f>
        <v>0</v>
      </c>
      <c r="AM24" s="39">
        <f>F24*AE24</f>
        <v>0</v>
      </c>
      <c r="AN24" s="39">
        <f>F24*AF24</f>
        <v>0</v>
      </c>
      <c r="AO24" s="40" t="s">
        <v>1540</v>
      </c>
      <c r="AP24" s="40" t="s">
        <v>1596</v>
      </c>
      <c r="AQ24" s="31" t="s">
        <v>1607</v>
      </c>
    </row>
    <row r="25" spans="4:6" ht="10.5" customHeight="1">
      <c r="D25" s="17" t="s">
        <v>966</v>
      </c>
      <c r="F25" s="23">
        <v>122.01</v>
      </c>
    </row>
    <row r="26" spans="4:6" ht="10.5" customHeight="1">
      <c r="D26" s="17" t="s">
        <v>967</v>
      </c>
      <c r="F26" s="23">
        <v>61.99</v>
      </c>
    </row>
    <row r="27" spans="1:43" ht="12.75">
      <c r="A27" s="5" t="s">
        <v>10</v>
      </c>
      <c r="B27" s="5" t="s">
        <v>588</v>
      </c>
      <c r="C27" s="5" t="s">
        <v>598</v>
      </c>
      <c r="D27" s="5" t="s">
        <v>968</v>
      </c>
      <c r="E27" s="5" t="s">
        <v>1493</v>
      </c>
      <c r="F27" s="22">
        <v>184</v>
      </c>
      <c r="G27" s="22">
        <v>0</v>
      </c>
      <c r="H27" s="22">
        <f>F27*AE27</f>
        <v>0</v>
      </c>
      <c r="I27" s="22">
        <f>J27-H27</f>
        <v>0</v>
      </c>
      <c r="J27" s="22">
        <f>F27*G27</f>
        <v>0</v>
      </c>
      <c r="K27" s="22">
        <v>0.00411</v>
      </c>
      <c r="L27" s="22">
        <f>F27*K27</f>
        <v>0.75624</v>
      </c>
      <c r="M27" s="35" t="s">
        <v>1523</v>
      </c>
      <c r="N27" s="35" t="s">
        <v>7</v>
      </c>
      <c r="O27" s="22">
        <f>IF(N27="5",I27,0)</f>
        <v>0</v>
      </c>
      <c r="Z27" s="22">
        <f>IF(AD27=0,J27,0)</f>
        <v>0</v>
      </c>
      <c r="AA27" s="22">
        <f>IF(AD27=15,J27,0)</f>
        <v>0</v>
      </c>
      <c r="AB27" s="22">
        <f>IF(AD27=21,J27,0)</f>
        <v>0</v>
      </c>
      <c r="AD27" s="39">
        <v>15</v>
      </c>
      <c r="AE27" s="39">
        <f>G27*0.278546489072805</f>
        <v>0</v>
      </c>
      <c r="AF27" s="39">
        <f>G27*(1-0.278546489072805)</f>
        <v>0</v>
      </c>
      <c r="AM27" s="39">
        <f>F27*AE27</f>
        <v>0</v>
      </c>
      <c r="AN27" s="39">
        <f>F27*AF27</f>
        <v>0</v>
      </c>
      <c r="AO27" s="40" t="s">
        <v>1540</v>
      </c>
      <c r="AP27" s="40" t="s">
        <v>1596</v>
      </c>
      <c r="AQ27" s="31" t="s">
        <v>1607</v>
      </c>
    </row>
    <row r="28" ht="12.75">
      <c r="D28" s="18" t="s">
        <v>969</v>
      </c>
    </row>
    <row r="29" spans="4:6" ht="10.5" customHeight="1">
      <c r="D29" s="17" t="s">
        <v>966</v>
      </c>
      <c r="F29" s="23">
        <v>122.01</v>
      </c>
    </row>
    <row r="30" spans="4:6" ht="10.5" customHeight="1">
      <c r="D30" s="17" t="s">
        <v>967</v>
      </c>
      <c r="F30" s="23">
        <v>61.99</v>
      </c>
    </row>
    <row r="31" spans="1:43" ht="12.75">
      <c r="A31" s="5" t="s">
        <v>11</v>
      </c>
      <c r="B31" s="5" t="s">
        <v>588</v>
      </c>
      <c r="C31" s="5" t="s">
        <v>599</v>
      </c>
      <c r="D31" s="5" t="s">
        <v>970</v>
      </c>
      <c r="E31" s="5" t="s">
        <v>1493</v>
      </c>
      <c r="F31" s="22">
        <v>184</v>
      </c>
      <c r="G31" s="22">
        <v>0</v>
      </c>
      <c r="H31" s="22">
        <f>F31*AE31</f>
        <v>0</v>
      </c>
      <c r="I31" s="22">
        <f>J31-H31</f>
        <v>0</v>
      </c>
      <c r="J31" s="22">
        <f>F31*G31</f>
        <v>0</v>
      </c>
      <c r="K31" s="22">
        <v>0.00022</v>
      </c>
      <c r="L31" s="22">
        <f>F31*K31</f>
        <v>0.04048</v>
      </c>
      <c r="M31" s="35" t="s">
        <v>1523</v>
      </c>
      <c r="N31" s="35" t="s">
        <v>7</v>
      </c>
      <c r="O31" s="22">
        <f>IF(N31="5",I31,0)</f>
        <v>0</v>
      </c>
      <c r="Z31" s="22">
        <f>IF(AD31=0,J31,0)</f>
        <v>0</v>
      </c>
      <c r="AA31" s="22">
        <f>IF(AD31=15,J31,0)</f>
        <v>0</v>
      </c>
      <c r="AB31" s="22">
        <f>IF(AD31=21,J31,0)</f>
        <v>0</v>
      </c>
      <c r="AD31" s="39">
        <v>15</v>
      </c>
      <c r="AE31" s="39">
        <f>G31*0.691749773345422</f>
        <v>0</v>
      </c>
      <c r="AF31" s="39">
        <f>G31*(1-0.691749773345422)</f>
        <v>0</v>
      </c>
      <c r="AM31" s="39">
        <f>F31*AE31</f>
        <v>0</v>
      </c>
      <c r="AN31" s="39">
        <f>F31*AF31</f>
        <v>0</v>
      </c>
      <c r="AO31" s="40" t="s">
        <v>1540</v>
      </c>
      <c r="AP31" s="40" t="s">
        <v>1596</v>
      </c>
      <c r="AQ31" s="31" t="s">
        <v>1607</v>
      </c>
    </row>
    <row r="32" spans="4:6" ht="10.5" customHeight="1">
      <c r="D32" s="17" t="s">
        <v>966</v>
      </c>
      <c r="F32" s="23">
        <v>122.01</v>
      </c>
    </row>
    <row r="33" spans="4:6" ht="10.5" customHeight="1">
      <c r="D33" s="17" t="s">
        <v>967</v>
      </c>
      <c r="F33" s="23">
        <v>61.99</v>
      </c>
    </row>
    <row r="34" spans="1:37" ht="12.75">
      <c r="A34" s="4"/>
      <c r="B34" s="14" t="s">
        <v>588</v>
      </c>
      <c r="C34" s="14" t="s">
        <v>70</v>
      </c>
      <c r="D34" s="104" t="s">
        <v>971</v>
      </c>
      <c r="E34" s="105"/>
      <c r="F34" s="105"/>
      <c r="G34" s="105"/>
      <c r="H34" s="42">
        <f>SUM(H35:H40)</f>
        <v>0</v>
      </c>
      <c r="I34" s="42">
        <f>SUM(I35:I40)</f>
        <v>0</v>
      </c>
      <c r="J34" s="42">
        <f>H34+I34</f>
        <v>0</v>
      </c>
      <c r="K34" s="31"/>
      <c r="L34" s="42">
        <f>SUM(L35:L40)</f>
        <v>1.4292300000000002</v>
      </c>
      <c r="M34" s="31"/>
      <c r="P34" s="42">
        <f>IF(Q34="PR",J34,SUM(O35:O40))</f>
        <v>0</v>
      </c>
      <c r="Q34" s="31" t="s">
        <v>1529</v>
      </c>
      <c r="R34" s="42">
        <f>IF(Q34="HS",H34,0)</f>
        <v>0</v>
      </c>
      <c r="S34" s="42">
        <f>IF(Q34="HS",I34-P34,0)</f>
        <v>0</v>
      </c>
      <c r="T34" s="42">
        <f>IF(Q34="PS",H34,0)</f>
        <v>0</v>
      </c>
      <c r="U34" s="42">
        <f>IF(Q34="PS",I34-P34,0)</f>
        <v>0</v>
      </c>
      <c r="V34" s="42">
        <f>IF(Q34="MP",H34,0)</f>
        <v>0</v>
      </c>
      <c r="W34" s="42">
        <f>IF(Q34="MP",I34-P34,0)</f>
        <v>0</v>
      </c>
      <c r="X34" s="42">
        <f>IF(Q34="OM",H34,0)</f>
        <v>0</v>
      </c>
      <c r="Y34" s="31" t="s">
        <v>588</v>
      </c>
      <c r="AI34" s="42">
        <f>SUM(Z35:Z40)</f>
        <v>0</v>
      </c>
      <c r="AJ34" s="42">
        <f>SUM(AA35:AA40)</f>
        <v>0</v>
      </c>
      <c r="AK34" s="42">
        <f>SUM(AB35:AB40)</f>
        <v>0</v>
      </c>
    </row>
    <row r="35" spans="1:43" ht="12.75">
      <c r="A35" s="5" t="s">
        <v>12</v>
      </c>
      <c r="B35" s="5" t="s">
        <v>588</v>
      </c>
      <c r="C35" s="5" t="s">
        <v>600</v>
      </c>
      <c r="D35" s="5" t="s">
        <v>972</v>
      </c>
      <c r="E35" s="5" t="s">
        <v>1494</v>
      </c>
      <c r="F35" s="22">
        <v>17</v>
      </c>
      <c r="G35" s="22">
        <v>0</v>
      </c>
      <c r="H35" s="22">
        <f aca="true" t="shared" si="0" ref="H35:H40">F35*AE35</f>
        <v>0</v>
      </c>
      <c r="I35" s="22">
        <f aca="true" t="shared" si="1" ref="I35:I40">J35-H35</f>
        <v>0</v>
      </c>
      <c r="J35" s="22">
        <f aca="true" t="shared" si="2" ref="J35:J40">F35*G35</f>
        <v>0</v>
      </c>
      <c r="K35" s="22">
        <v>0.05401</v>
      </c>
      <c r="L35" s="22">
        <f aca="true" t="shared" si="3" ref="L35:L40">F35*K35</f>
        <v>0.91817</v>
      </c>
      <c r="M35" s="35" t="s">
        <v>1523</v>
      </c>
      <c r="N35" s="35" t="s">
        <v>7</v>
      </c>
      <c r="O35" s="22">
        <f aca="true" t="shared" si="4" ref="O35:O40">IF(N35="5",I35,0)</f>
        <v>0</v>
      </c>
      <c r="Z35" s="22">
        <f aca="true" t="shared" si="5" ref="Z35:Z40">IF(AD35=0,J35,0)</f>
        <v>0</v>
      </c>
      <c r="AA35" s="22">
        <f aca="true" t="shared" si="6" ref="AA35:AA40">IF(AD35=15,J35,0)</f>
        <v>0</v>
      </c>
      <c r="AB35" s="22">
        <f aca="true" t="shared" si="7" ref="AB35:AB40">IF(AD35=21,J35,0)</f>
        <v>0</v>
      </c>
      <c r="AD35" s="39">
        <v>15</v>
      </c>
      <c r="AE35" s="39">
        <f>G35*0.130146064908988</f>
        <v>0</v>
      </c>
      <c r="AF35" s="39">
        <f>G35*(1-0.130146064908988)</f>
        <v>0</v>
      </c>
      <c r="AM35" s="39">
        <f aca="true" t="shared" si="8" ref="AM35:AM40">F35*AE35</f>
        <v>0</v>
      </c>
      <c r="AN35" s="39">
        <f aca="true" t="shared" si="9" ref="AN35:AN40">F35*AF35</f>
        <v>0</v>
      </c>
      <c r="AO35" s="40" t="s">
        <v>1541</v>
      </c>
      <c r="AP35" s="40" t="s">
        <v>1596</v>
      </c>
      <c r="AQ35" s="31" t="s">
        <v>1607</v>
      </c>
    </row>
    <row r="36" spans="1:43" ht="12.75">
      <c r="A36" s="6" t="s">
        <v>13</v>
      </c>
      <c r="B36" s="6" t="s">
        <v>588</v>
      </c>
      <c r="C36" s="6" t="s">
        <v>601</v>
      </c>
      <c r="D36" s="6" t="s">
        <v>973</v>
      </c>
      <c r="E36" s="6" t="s">
        <v>1494</v>
      </c>
      <c r="F36" s="24">
        <v>6</v>
      </c>
      <c r="G36" s="24">
        <v>0</v>
      </c>
      <c r="H36" s="24">
        <f t="shared" si="0"/>
        <v>0</v>
      </c>
      <c r="I36" s="24">
        <f t="shared" si="1"/>
        <v>0</v>
      </c>
      <c r="J36" s="24">
        <f t="shared" si="2"/>
        <v>0</v>
      </c>
      <c r="K36" s="24">
        <v>0.0113</v>
      </c>
      <c r="L36" s="24">
        <f t="shared" si="3"/>
        <v>0.0678</v>
      </c>
      <c r="M36" s="36" t="s">
        <v>1523</v>
      </c>
      <c r="N36" s="36" t="s">
        <v>1526</v>
      </c>
      <c r="O36" s="24">
        <f t="shared" si="4"/>
        <v>0</v>
      </c>
      <c r="Z36" s="24">
        <f t="shared" si="5"/>
        <v>0</v>
      </c>
      <c r="AA36" s="24">
        <f t="shared" si="6"/>
        <v>0</v>
      </c>
      <c r="AB36" s="24">
        <f t="shared" si="7"/>
        <v>0</v>
      </c>
      <c r="AD36" s="39">
        <v>15</v>
      </c>
      <c r="AE36" s="39">
        <f>G36*1</f>
        <v>0</v>
      </c>
      <c r="AF36" s="39">
        <f>G36*(1-1)</f>
        <v>0</v>
      </c>
      <c r="AM36" s="39">
        <f t="shared" si="8"/>
        <v>0</v>
      </c>
      <c r="AN36" s="39">
        <f t="shared" si="9"/>
        <v>0</v>
      </c>
      <c r="AO36" s="40" t="s">
        <v>1541</v>
      </c>
      <c r="AP36" s="40" t="s">
        <v>1596</v>
      </c>
      <c r="AQ36" s="31" t="s">
        <v>1607</v>
      </c>
    </row>
    <row r="37" spans="1:43" ht="12.75">
      <c r="A37" s="6" t="s">
        <v>14</v>
      </c>
      <c r="B37" s="6" t="s">
        <v>588</v>
      </c>
      <c r="C37" s="6" t="s">
        <v>602</v>
      </c>
      <c r="D37" s="6" t="s">
        <v>974</v>
      </c>
      <c r="E37" s="6" t="s">
        <v>1494</v>
      </c>
      <c r="F37" s="24">
        <v>11</v>
      </c>
      <c r="G37" s="24">
        <v>0</v>
      </c>
      <c r="H37" s="24">
        <f t="shared" si="0"/>
        <v>0</v>
      </c>
      <c r="I37" s="24">
        <f t="shared" si="1"/>
        <v>0</v>
      </c>
      <c r="J37" s="24">
        <f t="shared" si="2"/>
        <v>0</v>
      </c>
      <c r="K37" s="24">
        <v>0.01186</v>
      </c>
      <c r="L37" s="24">
        <f t="shared" si="3"/>
        <v>0.13046000000000002</v>
      </c>
      <c r="M37" s="36" t="s">
        <v>1523</v>
      </c>
      <c r="N37" s="36" t="s">
        <v>1526</v>
      </c>
      <c r="O37" s="24">
        <f t="shared" si="4"/>
        <v>0</v>
      </c>
      <c r="Z37" s="24">
        <f t="shared" si="5"/>
        <v>0</v>
      </c>
      <c r="AA37" s="24">
        <f t="shared" si="6"/>
        <v>0</v>
      </c>
      <c r="AB37" s="24">
        <f t="shared" si="7"/>
        <v>0</v>
      </c>
      <c r="AD37" s="39">
        <v>15</v>
      </c>
      <c r="AE37" s="39">
        <f>G37*1</f>
        <v>0</v>
      </c>
      <c r="AF37" s="39">
        <f>G37*(1-1)</f>
        <v>0</v>
      </c>
      <c r="AM37" s="39">
        <f t="shared" si="8"/>
        <v>0</v>
      </c>
      <c r="AN37" s="39">
        <f t="shared" si="9"/>
        <v>0</v>
      </c>
      <c r="AO37" s="40" t="s">
        <v>1541</v>
      </c>
      <c r="AP37" s="40" t="s">
        <v>1596</v>
      </c>
      <c r="AQ37" s="31" t="s">
        <v>1607</v>
      </c>
    </row>
    <row r="38" spans="1:43" ht="12.75">
      <c r="A38" s="6" t="s">
        <v>15</v>
      </c>
      <c r="B38" s="6" t="s">
        <v>588</v>
      </c>
      <c r="C38" s="6" t="s">
        <v>603</v>
      </c>
      <c r="D38" s="6" t="s">
        <v>975</v>
      </c>
      <c r="E38" s="6" t="s">
        <v>1494</v>
      </c>
      <c r="F38" s="24">
        <v>6</v>
      </c>
      <c r="G38" s="24">
        <v>0</v>
      </c>
      <c r="H38" s="24">
        <f t="shared" si="0"/>
        <v>0</v>
      </c>
      <c r="I38" s="24">
        <f t="shared" si="1"/>
        <v>0</v>
      </c>
      <c r="J38" s="24">
        <f t="shared" si="2"/>
        <v>0</v>
      </c>
      <c r="K38" s="24">
        <v>0.025</v>
      </c>
      <c r="L38" s="24">
        <f t="shared" si="3"/>
        <v>0.15000000000000002</v>
      </c>
      <c r="M38" s="36" t="s">
        <v>1523</v>
      </c>
      <c r="N38" s="36" t="s">
        <v>1526</v>
      </c>
      <c r="O38" s="24">
        <f t="shared" si="4"/>
        <v>0</v>
      </c>
      <c r="Z38" s="24">
        <f t="shared" si="5"/>
        <v>0</v>
      </c>
      <c r="AA38" s="24">
        <f t="shared" si="6"/>
        <v>0</v>
      </c>
      <c r="AB38" s="24">
        <f t="shared" si="7"/>
        <v>0</v>
      </c>
      <c r="AD38" s="39">
        <v>15</v>
      </c>
      <c r="AE38" s="39">
        <f>G38*1</f>
        <v>0</v>
      </c>
      <c r="AF38" s="39">
        <f>G38*(1-1)</f>
        <v>0</v>
      </c>
      <c r="AM38" s="39">
        <f t="shared" si="8"/>
        <v>0</v>
      </c>
      <c r="AN38" s="39">
        <f t="shared" si="9"/>
        <v>0</v>
      </c>
      <c r="AO38" s="40" t="s">
        <v>1541</v>
      </c>
      <c r="AP38" s="40" t="s">
        <v>1596</v>
      </c>
      <c r="AQ38" s="31" t="s">
        <v>1607</v>
      </c>
    </row>
    <row r="39" spans="1:43" ht="12.75">
      <c r="A39" s="6" t="s">
        <v>16</v>
      </c>
      <c r="B39" s="6" t="s">
        <v>588</v>
      </c>
      <c r="C39" s="6" t="s">
        <v>604</v>
      </c>
      <c r="D39" s="6" t="s">
        <v>976</v>
      </c>
      <c r="E39" s="6" t="s">
        <v>1494</v>
      </c>
      <c r="F39" s="24">
        <v>6</v>
      </c>
      <c r="G39" s="24">
        <v>0</v>
      </c>
      <c r="H39" s="24">
        <f t="shared" si="0"/>
        <v>0</v>
      </c>
      <c r="I39" s="24">
        <f t="shared" si="1"/>
        <v>0</v>
      </c>
      <c r="J39" s="24">
        <f t="shared" si="2"/>
        <v>0</v>
      </c>
      <c r="K39" s="24">
        <v>0.0138</v>
      </c>
      <c r="L39" s="24">
        <f t="shared" si="3"/>
        <v>0.0828</v>
      </c>
      <c r="M39" s="36" t="s">
        <v>1523</v>
      </c>
      <c r="N39" s="36" t="s">
        <v>1526</v>
      </c>
      <c r="O39" s="24">
        <f t="shared" si="4"/>
        <v>0</v>
      </c>
      <c r="Z39" s="24">
        <f t="shared" si="5"/>
        <v>0</v>
      </c>
      <c r="AA39" s="24">
        <f t="shared" si="6"/>
        <v>0</v>
      </c>
      <c r="AB39" s="24">
        <f t="shared" si="7"/>
        <v>0</v>
      </c>
      <c r="AD39" s="39">
        <v>15</v>
      </c>
      <c r="AE39" s="39">
        <f>G39*1</f>
        <v>0</v>
      </c>
      <c r="AF39" s="39">
        <f>G39*(1-1)</f>
        <v>0</v>
      </c>
      <c r="AM39" s="39">
        <f t="shared" si="8"/>
        <v>0</v>
      </c>
      <c r="AN39" s="39">
        <f t="shared" si="9"/>
        <v>0</v>
      </c>
      <c r="AO39" s="40" t="s">
        <v>1541</v>
      </c>
      <c r="AP39" s="40" t="s">
        <v>1596</v>
      </c>
      <c r="AQ39" s="31" t="s">
        <v>1607</v>
      </c>
    </row>
    <row r="40" spans="1:43" ht="12.75">
      <c r="A40" s="6" t="s">
        <v>17</v>
      </c>
      <c r="B40" s="6" t="s">
        <v>588</v>
      </c>
      <c r="C40" s="6" t="s">
        <v>605</v>
      </c>
      <c r="D40" s="6" t="s">
        <v>977</v>
      </c>
      <c r="E40" s="6" t="s">
        <v>1494</v>
      </c>
      <c r="F40" s="24">
        <v>5</v>
      </c>
      <c r="G40" s="24">
        <v>0</v>
      </c>
      <c r="H40" s="24">
        <f t="shared" si="0"/>
        <v>0</v>
      </c>
      <c r="I40" s="24">
        <f t="shared" si="1"/>
        <v>0</v>
      </c>
      <c r="J40" s="24">
        <f t="shared" si="2"/>
        <v>0</v>
      </c>
      <c r="K40" s="24">
        <v>0.016</v>
      </c>
      <c r="L40" s="24">
        <f t="shared" si="3"/>
        <v>0.08</v>
      </c>
      <c r="M40" s="36" t="s">
        <v>1523</v>
      </c>
      <c r="N40" s="36" t="s">
        <v>1526</v>
      </c>
      <c r="O40" s="24">
        <f t="shared" si="4"/>
        <v>0</v>
      </c>
      <c r="Z40" s="24">
        <f t="shared" si="5"/>
        <v>0</v>
      </c>
      <c r="AA40" s="24">
        <f t="shared" si="6"/>
        <v>0</v>
      </c>
      <c r="AB40" s="24">
        <f t="shared" si="7"/>
        <v>0</v>
      </c>
      <c r="AD40" s="39">
        <v>15</v>
      </c>
      <c r="AE40" s="39">
        <f>G40*1</f>
        <v>0</v>
      </c>
      <c r="AF40" s="39">
        <f>G40*(1-1)</f>
        <v>0</v>
      </c>
      <c r="AM40" s="39">
        <f t="shared" si="8"/>
        <v>0</v>
      </c>
      <c r="AN40" s="39">
        <f t="shared" si="9"/>
        <v>0</v>
      </c>
      <c r="AO40" s="40" t="s">
        <v>1541</v>
      </c>
      <c r="AP40" s="40" t="s">
        <v>1596</v>
      </c>
      <c r="AQ40" s="31" t="s">
        <v>1607</v>
      </c>
    </row>
    <row r="41" spans="1:37" ht="12.75">
      <c r="A41" s="4"/>
      <c r="B41" s="14" t="s">
        <v>588</v>
      </c>
      <c r="C41" s="14" t="s">
        <v>606</v>
      </c>
      <c r="D41" s="104" t="s">
        <v>978</v>
      </c>
      <c r="E41" s="105"/>
      <c r="F41" s="105"/>
      <c r="G41" s="105"/>
      <c r="H41" s="42">
        <f>SUM(H42:H45)</f>
        <v>0</v>
      </c>
      <c r="I41" s="42">
        <f>SUM(I42:I45)</f>
        <v>0</v>
      </c>
      <c r="J41" s="42">
        <f>H41+I41</f>
        <v>0</v>
      </c>
      <c r="K41" s="31"/>
      <c r="L41" s="42">
        <f>SUM(L42:L45)</f>
        <v>0.6164</v>
      </c>
      <c r="M41" s="31"/>
      <c r="P41" s="42">
        <f>IF(Q41="PR",J41,SUM(O42:O45))</f>
        <v>0</v>
      </c>
      <c r="Q41" s="31" t="s">
        <v>1530</v>
      </c>
      <c r="R41" s="42">
        <f>IF(Q41="HS",H41,0)</f>
        <v>0</v>
      </c>
      <c r="S41" s="42">
        <f>IF(Q41="HS",I41-P41,0)</f>
        <v>0</v>
      </c>
      <c r="T41" s="42">
        <f>IF(Q41="PS",H41,0)</f>
        <v>0</v>
      </c>
      <c r="U41" s="42">
        <f>IF(Q41="PS",I41-P41,0)</f>
        <v>0</v>
      </c>
      <c r="V41" s="42">
        <f>IF(Q41="MP",H41,0)</f>
        <v>0</v>
      </c>
      <c r="W41" s="42">
        <f>IF(Q41="MP",I41-P41,0)</f>
        <v>0</v>
      </c>
      <c r="X41" s="42">
        <f>IF(Q41="OM",H41,0)</f>
        <v>0</v>
      </c>
      <c r="Y41" s="31" t="s">
        <v>588</v>
      </c>
      <c r="AI41" s="42">
        <f>SUM(Z42:Z45)</f>
        <v>0</v>
      </c>
      <c r="AJ41" s="42">
        <f>SUM(AA42:AA45)</f>
        <v>0</v>
      </c>
      <c r="AK41" s="42">
        <f>SUM(AB42:AB45)</f>
        <v>0</v>
      </c>
    </row>
    <row r="42" spans="1:43" ht="12.75">
      <c r="A42" s="5" t="s">
        <v>18</v>
      </c>
      <c r="B42" s="5" t="s">
        <v>588</v>
      </c>
      <c r="C42" s="5" t="s">
        <v>607</v>
      </c>
      <c r="D42" s="5" t="s">
        <v>979</v>
      </c>
      <c r="E42" s="5" t="s">
        <v>1493</v>
      </c>
      <c r="F42" s="22">
        <v>184</v>
      </c>
      <c r="G42" s="22">
        <v>0</v>
      </c>
      <c r="H42" s="22">
        <f>F42*AE42</f>
        <v>0</v>
      </c>
      <c r="I42" s="22">
        <f>J42-H42</f>
        <v>0</v>
      </c>
      <c r="J42" s="22">
        <f>F42*G42</f>
        <v>0</v>
      </c>
      <c r="K42" s="22">
        <v>0.00083</v>
      </c>
      <c r="L42" s="22">
        <f>F42*K42</f>
        <v>0.15272</v>
      </c>
      <c r="M42" s="35" t="s">
        <v>1523</v>
      </c>
      <c r="N42" s="35" t="s">
        <v>7</v>
      </c>
      <c r="O42" s="22">
        <f>IF(N42="5",I42,0)</f>
        <v>0</v>
      </c>
      <c r="Z42" s="22">
        <f>IF(AD42=0,J42,0)</f>
        <v>0</v>
      </c>
      <c r="AA42" s="22">
        <f>IF(AD42=15,J42,0)</f>
        <v>0</v>
      </c>
      <c r="AB42" s="22">
        <f>IF(AD42=21,J42,0)</f>
        <v>0</v>
      </c>
      <c r="AD42" s="39">
        <v>15</v>
      </c>
      <c r="AE42" s="39">
        <f>G42*0.445758273152924</f>
        <v>0</v>
      </c>
      <c r="AF42" s="39">
        <f>G42*(1-0.445758273152924)</f>
        <v>0</v>
      </c>
      <c r="AM42" s="39">
        <f>F42*AE42</f>
        <v>0</v>
      </c>
      <c r="AN42" s="39">
        <f>F42*AF42</f>
        <v>0</v>
      </c>
      <c r="AO42" s="40" t="s">
        <v>1542</v>
      </c>
      <c r="AP42" s="40" t="s">
        <v>1597</v>
      </c>
      <c r="AQ42" s="31" t="s">
        <v>1607</v>
      </c>
    </row>
    <row r="43" spans="4:6" ht="10.5" customHeight="1">
      <c r="D43" s="17" t="s">
        <v>966</v>
      </c>
      <c r="F43" s="23">
        <v>122.01</v>
      </c>
    </row>
    <row r="44" spans="4:6" ht="10.5" customHeight="1">
      <c r="D44" s="17" t="s">
        <v>967</v>
      </c>
      <c r="F44" s="23">
        <v>61.99</v>
      </c>
    </row>
    <row r="45" spans="1:43" ht="12.75">
      <c r="A45" s="6" t="s">
        <v>19</v>
      </c>
      <c r="B45" s="6" t="s">
        <v>588</v>
      </c>
      <c r="C45" s="6" t="s">
        <v>608</v>
      </c>
      <c r="D45" s="6" t="s">
        <v>980</v>
      </c>
      <c r="E45" s="6" t="s">
        <v>1493</v>
      </c>
      <c r="F45" s="24">
        <v>193.2</v>
      </c>
      <c r="G45" s="24">
        <v>0</v>
      </c>
      <c r="H45" s="24">
        <f>F45*AE45</f>
        <v>0</v>
      </c>
      <c r="I45" s="24">
        <f>J45-H45</f>
        <v>0</v>
      </c>
      <c r="J45" s="24">
        <f>F45*G45</f>
        <v>0</v>
      </c>
      <c r="K45" s="24">
        <v>0.0024</v>
      </c>
      <c r="L45" s="24">
        <f>F45*K45</f>
        <v>0.4636799999999999</v>
      </c>
      <c r="M45" s="36" t="s">
        <v>1523</v>
      </c>
      <c r="N45" s="36" t="s">
        <v>1526</v>
      </c>
      <c r="O45" s="24">
        <f>IF(N45="5",I45,0)</f>
        <v>0</v>
      </c>
      <c r="Z45" s="24">
        <f>IF(AD45=0,J45,0)</f>
        <v>0</v>
      </c>
      <c r="AA45" s="24">
        <f>IF(AD45=15,J45,0)</f>
        <v>0</v>
      </c>
      <c r="AB45" s="24">
        <f>IF(AD45=21,J45,0)</f>
        <v>0</v>
      </c>
      <c r="AD45" s="39">
        <v>15</v>
      </c>
      <c r="AE45" s="39">
        <f>G45*1</f>
        <v>0</v>
      </c>
      <c r="AF45" s="39">
        <f>G45*(1-1)</f>
        <v>0</v>
      </c>
      <c r="AM45" s="39">
        <f>F45*AE45</f>
        <v>0</v>
      </c>
      <c r="AN45" s="39">
        <f>F45*AF45</f>
        <v>0</v>
      </c>
      <c r="AO45" s="40" t="s">
        <v>1542</v>
      </c>
      <c r="AP45" s="40" t="s">
        <v>1597</v>
      </c>
      <c r="AQ45" s="31" t="s">
        <v>1607</v>
      </c>
    </row>
    <row r="46" spans="4:6" ht="10.5" customHeight="1">
      <c r="D46" s="17" t="s">
        <v>981</v>
      </c>
      <c r="F46" s="23">
        <v>193.2</v>
      </c>
    </row>
    <row r="47" spans="1:37" ht="12.75">
      <c r="A47" s="4"/>
      <c r="B47" s="14" t="s">
        <v>588</v>
      </c>
      <c r="C47" s="14" t="s">
        <v>609</v>
      </c>
      <c r="D47" s="104" t="s">
        <v>982</v>
      </c>
      <c r="E47" s="105"/>
      <c r="F47" s="105"/>
      <c r="G47" s="105"/>
      <c r="H47" s="42">
        <f>SUM(H48:H59)</f>
        <v>0</v>
      </c>
      <c r="I47" s="42">
        <f>SUM(I48:I59)</f>
        <v>0</v>
      </c>
      <c r="J47" s="42">
        <f>H47+I47</f>
        <v>0</v>
      </c>
      <c r="K47" s="31"/>
      <c r="L47" s="42">
        <f>SUM(L48:L59)</f>
        <v>3.415800000000001</v>
      </c>
      <c r="M47" s="31"/>
      <c r="P47" s="42">
        <f>IF(Q47="PR",J47,SUM(O48:O59))</f>
        <v>0</v>
      </c>
      <c r="Q47" s="31" t="s">
        <v>1530</v>
      </c>
      <c r="R47" s="42">
        <f>IF(Q47="HS",H47,0)</f>
        <v>0</v>
      </c>
      <c r="S47" s="42">
        <f>IF(Q47="HS",I47-P47,0)</f>
        <v>0</v>
      </c>
      <c r="T47" s="42">
        <f>IF(Q47="PS",H47,0)</f>
        <v>0</v>
      </c>
      <c r="U47" s="42">
        <f>IF(Q47="PS",I47-P47,0)</f>
        <v>0</v>
      </c>
      <c r="V47" s="42">
        <f>IF(Q47="MP",H47,0)</f>
        <v>0</v>
      </c>
      <c r="W47" s="42">
        <f>IF(Q47="MP",I47-P47,0)</f>
        <v>0</v>
      </c>
      <c r="X47" s="42">
        <f>IF(Q47="OM",H47,0)</f>
        <v>0</v>
      </c>
      <c r="Y47" s="31" t="s">
        <v>588</v>
      </c>
      <c r="AI47" s="42">
        <f>SUM(Z48:Z59)</f>
        <v>0</v>
      </c>
      <c r="AJ47" s="42">
        <f>SUM(AA48:AA59)</f>
        <v>0</v>
      </c>
      <c r="AK47" s="42">
        <f>SUM(AB48:AB59)</f>
        <v>0</v>
      </c>
    </row>
    <row r="48" spans="1:43" ht="12.75">
      <c r="A48" s="5" t="s">
        <v>20</v>
      </c>
      <c r="B48" s="5" t="s">
        <v>588</v>
      </c>
      <c r="C48" s="5" t="s">
        <v>610</v>
      </c>
      <c r="D48" s="5" t="s">
        <v>983</v>
      </c>
      <c r="E48" s="5" t="s">
        <v>1494</v>
      </c>
      <c r="F48" s="22">
        <v>1</v>
      </c>
      <c r="G48" s="22">
        <v>0</v>
      </c>
      <c r="H48" s="22">
        <f aca="true" t="shared" si="10" ref="H48:H59">F48*AE48</f>
        <v>0</v>
      </c>
      <c r="I48" s="22">
        <f aca="true" t="shared" si="11" ref="I48:I59">J48-H48</f>
        <v>0</v>
      </c>
      <c r="J48" s="22">
        <f aca="true" t="shared" si="12" ref="J48:J59">F48*G48</f>
        <v>0</v>
      </c>
      <c r="K48" s="22">
        <v>1.3204</v>
      </c>
      <c r="L48" s="22">
        <f aca="true" t="shared" si="13" ref="L48:L59">F48*K48</f>
        <v>1.3204</v>
      </c>
      <c r="M48" s="35" t="s">
        <v>1523</v>
      </c>
      <c r="N48" s="35" t="s">
        <v>7</v>
      </c>
      <c r="O48" s="22">
        <f aca="true" t="shared" si="14" ref="O48:O59">IF(N48="5",I48,0)</f>
        <v>0</v>
      </c>
      <c r="Z48" s="22">
        <f aca="true" t="shared" si="15" ref="Z48:Z59">IF(AD48=0,J48,0)</f>
        <v>0</v>
      </c>
      <c r="AA48" s="22">
        <f aca="true" t="shared" si="16" ref="AA48:AA59">IF(AD48=15,J48,0)</f>
        <v>0</v>
      </c>
      <c r="AB48" s="22">
        <f aca="true" t="shared" si="17" ref="AB48:AB59">IF(AD48=21,J48,0)</f>
        <v>0</v>
      </c>
      <c r="AD48" s="39">
        <v>15</v>
      </c>
      <c r="AE48" s="39">
        <f>G48*0.00677298123270618</f>
        <v>0</v>
      </c>
      <c r="AF48" s="39">
        <f>G48*(1-0.00677298123270618)</f>
        <v>0</v>
      </c>
      <c r="AM48" s="39">
        <f aca="true" t="shared" si="18" ref="AM48:AM59">F48*AE48</f>
        <v>0</v>
      </c>
      <c r="AN48" s="39">
        <f aca="true" t="shared" si="19" ref="AN48:AN59">F48*AF48</f>
        <v>0</v>
      </c>
      <c r="AO48" s="40" t="s">
        <v>1543</v>
      </c>
      <c r="AP48" s="40" t="s">
        <v>1598</v>
      </c>
      <c r="AQ48" s="31" t="s">
        <v>1607</v>
      </c>
    </row>
    <row r="49" spans="1:43" ht="12.75">
      <c r="A49" s="5" t="s">
        <v>21</v>
      </c>
      <c r="B49" s="5" t="s">
        <v>588</v>
      </c>
      <c r="C49" s="5" t="s">
        <v>611</v>
      </c>
      <c r="D49" s="5" t="s">
        <v>984</v>
      </c>
      <c r="E49" s="5" t="s">
        <v>1494</v>
      </c>
      <c r="F49" s="22">
        <v>1</v>
      </c>
      <c r="G49" s="22">
        <v>0</v>
      </c>
      <c r="H49" s="22">
        <f t="shared" si="10"/>
        <v>0</v>
      </c>
      <c r="I49" s="22">
        <f t="shared" si="11"/>
        <v>0</v>
      </c>
      <c r="J49" s="22">
        <f t="shared" si="12"/>
        <v>0</v>
      </c>
      <c r="K49" s="22">
        <v>0.7092</v>
      </c>
      <c r="L49" s="22">
        <f t="shared" si="13"/>
        <v>0.7092</v>
      </c>
      <c r="M49" s="35" t="s">
        <v>1523</v>
      </c>
      <c r="N49" s="35" t="s">
        <v>7</v>
      </c>
      <c r="O49" s="22">
        <f t="shared" si="14"/>
        <v>0</v>
      </c>
      <c r="Z49" s="22">
        <f t="shared" si="15"/>
        <v>0</v>
      </c>
      <c r="AA49" s="22">
        <f t="shared" si="16"/>
        <v>0</v>
      </c>
      <c r="AB49" s="22">
        <f t="shared" si="17"/>
        <v>0</v>
      </c>
      <c r="AD49" s="39">
        <v>15</v>
      </c>
      <c r="AE49" s="39">
        <f>G49*0</f>
        <v>0</v>
      </c>
      <c r="AF49" s="39">
        <f>G49*(1-0)</f>
        <v>0</v>
      </c>
      <c r="AM49" s="39">
        <f t="shared" si="18"/>
        <v>0</v>
      </c>
      <c r="AN49" s="39">
        <f t="shared" si="19"/>
        <v>0</v>
      </c>
      <c r="AO49" s="40" t="s">
        <v>1543</v>
      </c>
      <c r="AP49" s="40" t="s">
        <v>1598</v>
      </c>
      <c r="AQ49" s="31" t="s">
        <v>1607</v>
      </c>
    </row>
    <row r="50" spans="1:43" ht="12.75">
      <c r="A50" s="5" t="s">
        <v>22</v>
      </c>
      <c r="B50" s="5" t="s">
        <v>588</v>
      </c>
      <c r="C50" s="5" t="s">
        <v>612</v>
      </c>
      <c r="D50" s="5" t="s">
        <v>985</v>
      </c>
      <c r="E50" s="5" t="s">
        <v>1494</v>
      </c>
      <c r="F50" s="22">
        <v>2</v>
      </c>
      <c r="G50" s="22">
        <v>0</v>
      </c>
      <c r="H50" s="22">
        <f t="shared" si="10"/>
        <v>0</v>
      </c>
      <c r="I50" s="22">
        <f t="shared" si="11"/>
        <v>0</v>
      </c>
      <c r="J50" s="22">
        <f t="shared" si="12"/>
        <v>0</v>
      </c>
      <c r="K50" s="22">
        <v>0</v>
      </c>
      <c r="L50" s="22">
        <f t="shared" si="13"/>
        <v>0</v>
      </c>
      <c r="M50" s="35" t="s">
        <v>1523</v>
      </c>
      <c r="N50" s="35" t="s">
        <v>7</v>
      </c>
      <c r="O50" s="22">
        <f t="shared" si="14"/>
        <v>0</v>
      </c>
      <c r="Z50" s="22">
        <f t="shared" si="15"/>
        <v>0</v>
      </c>
      <c r="AA50" s="22">
        <f t="shared" si="16"/>
        <v>0</v>
      </c>
      <c r="AB50" s="22">
        <f t="shared" si="17"/>
        <v>0</v>
      </c>
      <c r="AD50" s="39">
        <v>15</v>
      </c>
      <c r="AE50" s="39">
        <f>G50*0</f>
        <v>0</v>
      </c>
      <c r="AF50" s="39">
        <f>G50*(1-0)</f>
        <v>0</v>
      </c>
      <c r="AM50" s="39">
        <f t="shared" si="18"/>
        <v>0</v>
      </c>
      <c r="AN50" s="39">
        <f t="shared" si="19"/>
        <v>0</v>
      </c>
      <c r="AO50" s="40" t="s">
        <v>1543</v>
      </c>
      <c r="AP50" s="40" t="s">
        <v>1598</v>
      </c>
      <c r="AQ50" s="31" t="s">
        <v>1607</v>
      </c>
    </row>
    <row r="51" spans="1:43" ht="12.75">
      <c r="A51" s="5" t="s">
        <v>23</v>
      </c>
      <c r="B51" s="5" t="s">
        <v>588</v>
      </c>
      <c r="C51" s="5" t="s">
        <v>613</v>
      </c>
      <c r="D51" s="5" t="s">
        <v>986</v>
      </c>
      <c r="E51" s="5" t="s">
        <v>1494</v>
      </c>
      <c r="F51" s="22">
        <v>8</v>
      </c>
      <c r="G51" s="22">
        <v>0</v>
      </c>
      <c r="H51" s="22">
        <f t="shared" si="10"/>
        <v>0</v>
      </c>
      <c r="I51" s="22">
        <f t="shared" si="11"/>
        <v>0</v>
      </c>
      <c r="J51" s="22">
        <f t="shared" si="12"/>
        <v>0</v>
      </c>
      <c r="K51" s="22">
        <v>0.04401</v>
      </c>
      <c r="L51" s="22">
        <f t="shared" si="13"/>
        <v>0.35208</v>
      </c>
      <c r="M51" s="35" t="s">
        <v>1523</v>
      </c>
      <c r="N51" s="35" t="s">
        <v>7</v>
      </c>
      <c r="O51" s="22">
        <f t="shared" si="14"/>
        <v>0</v>
      </c>
      <c r="Z51" s="22">
        <f t="shared" si="15"/>
        <v>0</v>
      </c>
      <c r="AA51" s="22">
        <f t="shared" si="16"/>
        <v>0</v>
      </c>
      <c r="AB51" s="22">
        <f t="shared" si="17"/>
        <v>0</v>
      </c>
      <c r="AD51" s="39">
        <v>15</v>
      </c>
      <c r="AE51" s="39">
        <f>G51*0.0108247422680412</f>
        <v>0</v>
      </c>
      <c r="AF51" s="39">
        <f>G51*(1-0.0108247422680412)</f>
        <v>0</v>
      </c>
      <c r="AM51" s="39">
        <f t="shared" si="18"/>
        <v>0</v>
      </c>
      <c r="AN51" s="39">
        <f t="shared" si="19"/>
        <v>0</v>
      </c>
      <c r="AO51" s="40" t="s">
        <v>1543</v>
      </c>
      <c r="AP51" s="40" t="s">
        <v>1598</v>
      </c>
      <c r="AQ51" s="31" t="s">
        <v>1607</v>
      </c>
    </row>
    <row r="52" spans="1:43" ht="12.75">
      <c r="A52" s="5" t="s">
        <v>24</v>
      </c>
      <c r="B52" s="5" t="s">
        <v>588</v>
      </c>
      <c r="C52" s="5" t="s">
        <v>614</v>
      </c>
      <c r="D52" s="5" t="s">
        <v>987</v>
      </c>
      <c r="E52" s="5" t="s">
        <v>1494</v>
      </c>
      <c r="F52" s="22">
        <v>1</v>
      </c>
      <c r="G52" s="22">
        <v>0</v>
      </c>
      <c r="H52" s="22">
        <f t="shared" si="10"/>
        <v>0</v>
      </c>
      <c r="I52" s="22">
        <f t="shared" si="11"/>
        <v>0</v>
      </c>
      <c r="J52" s="22">
        <f t="shared" si="12"/>
        <v>0</v>
      </c>
      <c r="K52" s="22">
        <v>0.00614</v>
      </c>
      <c r="L52" s="22">
        <f t="shared" si="13"/>
        <v>0.00614</v>
      </c>
      <c r="M52" s="35" t="s">
        <v>1523</v>
      </c>
      <c r="N52" s="35" t="s">
        <v>7</v>
      </c>
      <c r="O52" s="22">
        <f t="shared" si="14"/>
        <v>0</v>
      </c>
      <c r="Z52" s="22">
        <f t="shared" si="15"/>
        <v>0</v>
      </c>
      <c r="AA52" s="22">
        <f t="shared" si="16"/>
        <v>0</v>
      </c>
      <c r="AB52" s="22">
        <f t="shared" si="17"/>
        <v>0</v>
      </c>
      <c r="AD52" s="39">
        <v>15</v>
      </c>
      <c r="AE52" s="39">
        <f>G52*0.545244754599245</f>
        <v>0</v>
      </c>
      <c r="AF52" s="39">
        <f>G52*(1-0.545244754599245)</f>
        <v>0</v>
      </c>
      <c r="AM52" s="39">
        <f t="shared" si="18"/>
        <v>0</v>
      </c>
      <c r="AN52" s="39">
        <f t="shared" si="19"/>
        <v>0</v>
      </c>
      <c r="AO52" s="40" t="s">
        <v>1543</v>
      </c>
      <c r="AP52" s="40" t="s">
        <v>1598</v>
      </c>
      <c r="AQ52" s="31" t="s">
        <v>1607</v>
      </c>
    </row>
    <row r="53" spans="1:43" ht="12.75">
      <c r="A53" s="5" t="s">
        <v>25</v>
      </c>
      <c r="B53" s="5" t="s">
        <v>588</v>
      </c>
      <c r="C53" s="5" t="s">
        <v>615</v>
      </c>
      <c r="D53" s="5" t="s">
        <v>988</v>
      </c>
      <c r="E53" s="5" t="s">
        <v>1494</v>
      </c>
      <c r="F53" s="22">
        <v>2</v>
      </c>
      <c r="G53" s="22">
        <v>0</v>
      </c>
      <c r="H53" s="22">
        <f t="shared" si="10"/>
        <v>0</v>
      </c>
      <c r="I53" s="22">
        <f t="shared" si="11"/>
        <v>0</v>
      </c>
      <c r="J53" s="22">
        <f t="shared" si="12"/>
        <v>0</v>
      </c>
      <c r="K53" s="22">
        <v>0.01536</v>
      </c>
      <c r="L53" s="22">
        <f t="shared" si="13"/>
        <v>0.03072</v>
      </c>
      <c r="M53" s="35" t="s">
        <v>1523</v>
      </c>
      <c r="N53" s="35" t="s">
        <v>7</v>
      </c>
      <c r="O53" s="22">
        <f t="shared" si="14"/>
        <v>0</v>
      </c>
      <c r="Z53" s="22">
        <f t="shared" si="15"/>
        <v>0</v>
      </c>
      <c r="AA53" s="22">
        <f t="shared" si="16"/>
        <v>0</v>
      </c>
      <c r="AB53" s="22">
        <f t="shared" si="17"/>
        <v>0</v>
      </c>
      <c r="AD53" s="39">
        <v>15</v>
      </c>
      <c r="AE53" s="39">
        <f>G53*0.59388474025974</f>
        <v>0</v>
      </c>
      <c r="AF53" s="39">
        <f>G53*(1-0.59388474025974)</f>
        <v>0</v>
      </c>
      <c r="AM53" s="39">
        <f t="shared" si="18"/>
        <v>0</v>
      </c>
      <c r="AN53" s="39">
        <f t="shared" si="19"/>
        <v>0</v>
      </c>
      <c r="AO53" s="40" t="s">
        <v>1543</v>
      </c>
      <c r="AP53" s="40" t="s">
        <v>1598</v>
      </c>
      <c r="AQ53" s="31" t="s">
        <v>1607</v>
      </c>
    </row>
    <row r="54" spans="1:43" ht="12.75">
      <c r="A54" s="5" t="s">
        <v>26</v>
      </c>
      <c r="B54" s="5" t="s">
        <v>588</v>
      </c>
      <c r="C54" s="5" t="s">
        <v>616</v>
      </c>
      <c r="D54" s="5" t="s">
        <v>989</v>
      </c>
      <c r="E54" s="5" t="s">
        <v>1494</v>
      </c>
      <c r="F54" s="22">
        <v>2</v>
      </c>
      <c r="G54" s="22">
        <v>0</v>
      </c>
      <c r="H54" s="22">
        <f t="shared" si="10"/>
        <v>0</v>
      </c>
      <c r="I54" s="22">
        <f t="shared" si="11"/>
        <v>0</v>
      </c>
      <c r="J54" s="22">
        <f t="shared" si="12"/>
        <v>0</v>
      </c>
      <c r="K54" s="22">
        <v>0.04801</v>
      </c>
      <c r="L54" s="22">
        <f t="shared" si="13"/>
        <v>0.09602</v>
      </c>
      <c r="M54" s="35" t="s">
        <v>1523</v>
      </c>
      <c r="N54" s="35" t="s">
        <v>7</v>
      </c>
      <c r="O54" s="22">
        <f t="shared" si="14"/>
        <v>0</v>
      </c>
      <c r="Z54" s="22">
        <f t="shared" si="15"/>
        <v>0</v>
      </c>
      <c r="AA54" s="22">
        <f t="shared" si="16"/>
        <v>0</v>
      </c>
      <c r="AB54" s="22">
        <f t="shared" si="17"/>
        <v>0</v>
      </c>
      <c r="AD54" s="39">
        <v>15</v>
      </c>
      <c r="AE54" s="39">
        <f>G54*0.00803234501347709</f>
        <v>0</v>
      </c>
      <c r="AF54" s="39">
        <f>G54*(1-0.00803234501347709)</f>
        <v>0</v>
      </c>
      <c r="AM54" s="39">
        <f t="shared" si="18"/>
        <v>0</v>
      </c>
      <c r="AN54" s="39">
        <f t="shared" si="19"/>
        <v>0</v>
      </c>
      <c r="AO54" s="40" t="s">
        <v>1543</v>
      </c>
      <c r="AP54" s="40" t="s">
        <v>1598</v>
      </c>
      <c r="AQ54" s="31" t="s">
        <v>1607</v>
      </c>
    </row>
    <row r="55" spans="1:43" ht="12.75">
      <c r="A55" s="5" t="s">
        <v>27</v>
      </c>
      <c r="B55" s="5" t="s">
        <v>588</v>
      </c>
      <c r="C55" s="5" t="s">
        <v>617</v>
      </c>
      <c r="D55" s="5" t="s">
        <v>990</v>
      </c>
      <c r="E55" s="5" t="s">
        <v>1494</v>
      </c>
      <c r="F55" s="22">
        <v>1</v>
      </c>
      <c r="G55" s="22">
        <v>0</v>
      </c>
      <c r="H55" s="22">
        <f t="shared" si="10"/>
        <v>0</v>
      </c>
      <c r="I55" s="22">
        <f t="shared" si="11"/>
        <v>0</v>
      </c>
      <c r="J55" s="22">
        <f t="shared" si="12"/>
        <v>0</v>
      </c>
      <c r="K55" s="22">
        <v>0</v>
      </c>
      <c r="L55" s="22">
        <f t="shared" si="13"/>
        <v>0</v>
      </c>
      <c r="M55" s="35" t="s">
        <v>1523</v>
      </c>
      <c r="N55" s="35" t="s">
        <v>7</v>
      </c>
      <c r="O55" s="22">
        <f t="shared" si="14"/>
        <v>0</v>
      </c>
      <c r="Z55" s="22">
        <f t="shared" si="15"/>
        <v>0</v>
      </c>
      <c r="AA55" s="22">
        <f t="shared" si="16"/>
        <v>0</v>
      </c>
      <c r="AB55" s="22">
        <f t="shared" si="17"/>
        <v>0</v>
      </c>
      <c r="AD55" s="39">
        <v>15</v>
      </c>
      <c r="AE55" s="39">
        <f>G55*0</f>
        <v>0</v>
      </c>
      <c r="AF55" s="39">
        <f>G55*(1-0)</f>
        <v>0</v>
      </c>
      <c r="AM55" s="39">
        <f t="shared" si="18"/>
        <v>0</v>
      </c>
      <c r="AN55" s="39">
        <f t="shared" si="19"/>
        <v>0</v>
      </c>
      <c r="AO55" s="40" t="s">
        <v>1543</v>
      </c>
      <c r="AP55" s="40" t="s">
        <v>1598</v>
      </c>
      <c r="AQ55" s="31" t="s">
        <v>1607</v>
      </c>
    </row>
    <row r="56" spans="1:43" ht="12.75">
      <c r="A56" s="5" t="s">
        <v>28</v>
      </c>
      <c r="B56" s="5" t="s">
        <v>588</v>
      </c>
      <c r="C56" s="5" t="s">
        <v>618</v>
      </c>
      <c r="D56" s="5" t="s">
        <v>991</v>
      </c>
      <c r="E56" s="5" t="s">
        <v>1495</v>
      </c>
      <c r="F56" s="22">
        <v>25</v>
      </c>
      <c r="G56" s="22">
        <v>0</v>
      </c>
      <c r="H56" s="22">
        <f t="shared" si="10"/>
        <v>0</v>
      </c>
      <c r="I56" s="22">
        <f t="shared" si="11"/>
        <v>0</v>
      </c>
      <c r="J56" s="22">
        <f t="shared" si="12"/>
        <v>0</v>
      </c>
      <c r="K56" s="22">
        <v>0.00867</v>
      </c>
      <c r="L56" s="22">
        <f t="shared" si="13"/>
        <v>0.21675000000000003</v>
      </c>
      <c r="M56" s="35" t="s">
        <v>1523</v>
      </c>
      <c r="N56" s="35" t="s">
        <v>7</v>
      </c>
      <c r="O56" s="22">
        <f t="shared" si="14"/>
        <v>0</v>
      </c>
      <c r="Z56" s="22">
        <f t="shared" si="15"/>
        <v>0</v>
      </c>
      <c r="AA56" s="22">
        <f t="shared" si="16"/>
        <v>0</v>
      </c>
      <c r="AB56" s="22">
        <f t="shared" si="17"/>
        <v>0</v>
      </c>
      <c r="AD56" s="39">
        <v>15</v>
      </c>
      <c r="AE56" s="39">
        <f>G56*0.412666666666667</f>
        <v>0</v>
      </c>
      <c r="AF56" s="39">
        <f>G56*(1-0.412666666666667)</f>
        <v>0</v>
      </c>
      <c r="AM56" s="39">
        <f t="shared" si="18"/>
        <v>0</v>
      </c>
      <c r="AN56" s="39">
        <f t="shared" si="19"/>
        <v>0</v>
      </c>
      <c r="AO56" s="40" t="s">
        <v>1543</v>
      </c>
      <c r="AP56" s="40" t="s">
        <v>1598</v>
      </c>
      <c r="AQ56" s="31" t="s">
        <v>1607</v>
      </c>
    </row>
    <row r="57" spans="1:43" ht="12.75">
      <c r="A57" s="5" t="s">
        <v>29</v>
      </c>
      <c r="B57" s="5" t="s">
        <v>588</v>
      </c>
      <c r="C57" s="5" t="s">
        <v>619</v>
      </c>
      <c r="D57" s="5" t="s">
        <v>992</v>
      </c>
      <c r="E57" s="5" t="s">
        <v>1495</v>
      </c>
      <c r="F57" s="22">
        <v>33</v>
      </c>
      <c r="G57" s="22">
        <v>0</v>
      </c>
      <c r="H57" s="22">
        <f t="shared" si="10"/>
        <v>0</v>
      </c>
      <c r="I57" s="22">
        <f t="shared" si="11"/>
        <v>0</v>
      </c>
      <c r="J57" s="22">
        <f t="shared" si="12"/>
        <v>0</v>
      </c>
      <c r="K57" s="22">
        <v>0.00537</v>
      </c>
      <c r="L57" s="22">
        <f t="shared" si="13"/>
        <v>0.17720999999999998</v>
      </c>
      <c r="M57" s="35" t="s">
        <v>1523</v>
      </c>
      <c r="N57" s="35" t="s">
        <v>7</v>
      </c>
      <c r="O57" s="22">
        <f t="shared" si="14"/>
        <v>0</v>
      </c>
      <c r="Z57" s="22">
        <f t="shared" si="15"/>
        <v>0</v>
      </c>
      <c r="AA57" s="22">
        <f t="shared" si="16"/>
        <v>0</v>
      </c>
      <c r="AB57" s="22">
        <f t="shared" si="17"/>
        <v>0</v>
      </c>
      <c r="AD57" s="39">
        <v>15</v>
      </c>
      <c r="AE57" s="39">
        <f>G57*0.268024691358025</f>
        <v>0</v>
      </c>
      <c r="AF57" s="39">
        <f>G57*(1-0.268024691358025)</f>
        <v>0</v>
      </c>
      <c r="AM57" s="39">
        <f t="shared" si="18"/>
        <v>0</v>
      </c>
      <c r="AN57" s="39">
        <f t="shared" si="19"/>
        <v>0</v>
      </c>
      <c r="AO57" s="40" t="s">
        <v>1543</v>
      </c>
      <c r="AP57" s="40" t="s">
        <v>1598</v>
      </c>
      <c r="AQ57" s="31" t="s">
        <v>1607</v>
      </c>
    </row>
    <row r="58" spans="1:43" ht="12.75">
      <c r="A58" s="5" t="s">
        <v>30</v>
      </c>
      <c r="B58" s="5" t="s">
        <v>588</v>
      </c>
      <c r="C58" s="5" t="s">
        <v>620</v>
      </c>
      <c r="D58" s="5" t="s">
        <v>993</v>
      </c>
      <c r="E58" s="5" t="s">
        <v>1494</v>
      </c>
      <c r="F58" s="22">
        <v>6</v>
      </c>
      <c r="G58" s="22">
        <v>0</v>
      </c>
      <c r="H58" s="22">
        <f t="shared" si="10"/>
        <v>0</v>
      </c>
      <c r="I58" s="22">
        <f t="shared" si="11"/>
        <v>0</v>
      </c>
      <c r="J58" s="22">
        <f t="shared" si="12"/>
        <v>0</v>
      </c>
      <c r="K58" s="22">
        <v>0.08302</v>
      </c>
      <c r="L58" s="22">
        <f t="shared" si="13"/>
        <v>0.49812</v>
      </c>
      <c r="M58" s="35" t="s">
        <v>1523</v>
      </c>
      <c r="N58" s="35" t="s">
        <v>7</v>
      </c>
      <c r="O58" s="22">
        <f t="shared" si="14"/>
        <v>0</v>
      </c>
      <c r="Z58" s="22">
        <f t="shared" si="15"/>
        <v>0</v>
      </c>
      <c r="AA58" s="22">
        <f t="shared" si="16"/>
        <v>0</v>
      </c>
      <c r="AB58" s="22">
        <f t="shared" si="17"/>
        <v>0</v>
      </c>
      <c r="AD58" s="39">
        <v>15</v>
      </c>
      <c r="AE58" s="39">
        <f>G58*0.003</f>
        <v>0</v>
      </c>
      <c r="AF58" s="39">
        <f>G58*(1-0.003)</f>
        <v>0</v>
      </c>
      <c r="AM58" s="39">
        <f t="shared" si="18"/>
        <v>0</v>
      </c>
      <c r="AN58" s="39">
        <f t="shared" si="19"/>
        <v>0</v>
      </c>
      <c r="AO58" s="40" t="s">
        <v>1543</v>
      </c>
      <c r="AP58" s="40" t="s">
        <v>1598</v>
      </c>
      <c r="AQ58" s="31" t="s">
        <v>1607</v>
      </c>
    </row>
    <row r="59" spans="1:43" ht="12.75">
      <c r="A59" s="5" t="s">
        <v>31</v>
      </c>
      <c r="B59" s="5" t="s">
        <v>588</v>
      </c>
      <c r="C59" s="5" t="s">
        <v>621</v>
      </c>
      <c r="D59" s="5" t="s">
        <v>994</v>
      </c>
      <c r="E59" s="5" t="s">
        <v>1494</v>
      </c>
      <c r="F59" s="22">
        <v>1</v>
      </c>
      <c r="G59" s="22">
        <v>0</v>
      </c>
      <c r="H59" s="22">
        <f t="shared" si="10"/>
        <v>0</v>
      </c>
      <c r="I59" s="22">
        <f t="shared" si="11"/>
        <v>0</v>
      </c>
      <c r="J59" s="22">
        <f t="shared" si="12"/>
        <v>0</v>
      </c>
      <c r="K59" s="22">
        <v>0.00916</v>
      </c>
      <c r="L59" s="22">
        <f t="shared" si="13"/>
        <v>0.00916</v>
      </c>
      <c r="M59" s="35" t="s">
        <v>1523</v>
      </c>
      <c r="N59" s="35" t="s">
        <v>7</v>
      </c>
      <c r="O59" s="22">
        <f t="shared" si="14"/>
        <v>0</v>
      </c>
      <c r="Z59" s="22">
        <f t="shared" si="15"/>
        <v>0</v>
      </c>
      <c r="AA59" s="22">
        <f t="shared" si="16"/>
        <v>0</v>
      </c>
      <c r="AB59" s="22">
        <f t="shared" si="17"/>
        <v>0</v>
      </c>
      <c r="AD59" s="39">
        <v>15</v>
      </c>
      <c r="AE59" s="39">
        <f>G59*0.31078544986319</f>
        <v>0</v>
      </c>
      <c r="AF59" s="39">
        <f>G59*(1-0.31078544986319)</f>
        <v>0</v>
      </c>
      <c r="AM59" s="39">
        <f t="shared" si="18"/>
        <v>0</v>
      </c>
      <c r="AN59" s="39">
        <f t="shared" si="19"/>
        <v>0</v>
      </c>
      <c r="AO59" s="40" t="s">
        <v>1543</v>
      </c>
      <c r="AP59" s="40" t="s">
        <v>1598</v>
      </c>
      <c r="AQ59" s="31" t="s">
        <v>1607</v>
      </c>
    </row>
    <row r="60" spans="1:37" ht="12.75">
      <c r="A60" s="4"/>
      <c r="B60" s="14" t="s">
        <v>588</v>
      </c>
      <c r="C60" s="14" t="s">
        <v>622</v>
      </c>
      <c r="D60" s="104" t="s">
        <v>995</v>
      </c>
      <c r="E60" s="105"/>
      <c r="F60" s="105"/>
      <c r="G60" s="105"/>
      <c r="H60" s="42">
        <f>SUM(H61:H67)</f>
        <v>0</v>
      </c>
      <c r="I60" s="42">
        <f>SUM(I61:I67)</f>
        <v>0</v>
      </c>
      <c r="J60" s="42">
        <f>H60+I60</f>
        <v>0</v>
      </c>
      <c r="K60" s="31"/>
      <c r="L60" s="42">
        <f>SUM(L61:L67)</f>
        <v>0.01086</v>
      </c>
      <c r="M60" s="31"/>
      <c r="P60" s="42">
        <f>IF(Q60="PR",J60,SUM(O61:O67))</f>
        <v>0</v>
      </c>
      <c r="Q60" s="31" t="s">
        <v>1530</v>
      </c>
      <c r="R60" s="42">
        <f>IF(Q60="HS",H60,0)</f>
        <v>0</v>
      </c>
      <c r="S60" s="42">
        <f>IF(Q60="HS",I60-P60,0)</f>
        <v>0</v>
      </c>
      <c r="T60" s="42">
        <f>IF(Q60="PS",H60,0)</f>
        <v>0</v>
      </c>
      <c r="U60" s="42">
        <f>IF(Q60="PS",I60-P60,0)</f>
        <v>0</v>
      </c>
      <c r="V60" s="42">
        <f>IF(Q60="MP",H60,0)</f>
        <v>0</v>
      </c>
      <c r="W60" s="42">
        <f>IF(Q60="MP",I60-P60,0)</f>
        <v>0</v>
      </c>
      <c r="X60" s="42">
        <f>IF(Q60="OM",H60,0)</f>
        <v>0</v>
      </c>
      <c r="Y60" s="31" t="s">
        <v>588</v>
      </c>
      <c r="AI60" s="42">
        <f>SUM(Z61:Z67)</f>
        <v>0</v>
      </c>
      <c r="AJ60" s="42">
        <f>SUM(AA61:AA67)</f>
        <v>0</v>
      </c>
      <c r="AK60" s="42">
        <f>SUM(AB61:AB67)</f>
        <v>0</v>
      </c>
    </row>
    <row r="61" spans="1:43" ht="12.75">
      <c r="A61" s="5" t="s">
        <v>32</v>
      </c>
      <c r="B61" s="5" t="s">
        <v>588</v>
      </c>
      <c r="C61" s="5" t="s">
        <v>623</v>
      </c>
      <c r="D61" s="5" t="s">
        <v>996</v>
      </c>
      <c r="E61" s="5" t="s">
        <v>1494</v>
      </c>
      <c r="F61" s="22">
        <v>6</v>
      </c>
      <c r="G61" s="22">
        <v>0</v>
      </c>
      <c r="H61" s="22">
        <f aca="true" t="shared" si="20" ref="H61:H67">F61*AE61</f>
        <v>0</v>
      </c>
      <c r="I61" s="22">
        <f aca="true" t="shared" si="21" ref="I61:I67">J61-H61</f>
        <v>0</v>
      </c>
      <c r="J61" s="22">
        <f aca="true" t="shared" si="22" ref="J61:J67">F61*G61</f>
        <v>0</v>
      </c>
      <c r="K61" s="22">
        <v>0</v>
      </c>
      <c r="L61" s="22">
        <f aca="true" t="shared" si="23" ref="L61:L67">F61*K61</f>
        <v>0</v>
      </c>
      <c r="M61" s="35" t="s">
        <v>1523</v>
      </c>
      <c r="N61" s="35" t="s">
        <v>7</v>
      </c>
      <c r="O61" s="22">
        <f aca="true" t="shared" si="24" ref="O61:O67">IF(N61="5",I61,0)</f>
        <v>0</v>
      </c>
      <c r="Z61" s="22">
        <f aca="true" t="shared" si="25" ref="Z61:Z67">IF(AD61=0,J61,0)</f>
        <v>0</v>
      </c>
      <c r="AA61" s="22">
        <f aca="true" t="shared" si="26" ref="AA61:AA67">IF(AD61=15,J61,0)</f>
        <v>0</v>
      </c>
      <c r="AB61" s="22">
        <f aca="true" t="shared" si="27" ref="AB61:AB67">IF(AD61=21,J61,0)</f>
        <v>0</v>
      </c>
      <c r="AD61" s="39">
        <v>15</v>
      </c>
      <c r="AE61" s="39">
        <f>G61*0</f>
        <v>0</v>
      </c>
      <c r="AF61" s="39">
        <f>G61*(1-0)</f>
        <v>0</v>
      </c>
      <c r="AM61" s="39">
        <f aca="true" t="shared" si="28" ref="AM61:AM67">F61*AE61</f>
        <v>0</v>
      </c>
      <c r="AN61" s="39">
        <f aca="true" t="shared" si="29" ref="AN61:AN67">F61*AF61</f>
        <v>0</v>
      </c>
      <c r="AO61" s="40" t="s">
        <v>1544</v>
      </c>
      <c r="AP61" s="40" t="s">
        <v>1599</v>
      </c>
      <c r="AQ61" s="31" t="s">
        <v>1607</v>
      </c>
    </row>
    <row r="62" spans="1:43" ht="12.75">
      <c r="A62" s="6" t="s">
        <v>33</v>
      </c>
      <c r="B62" s="6" t="s">
        <v>588</v>
      </c>
      <c r="C62" s="6" t="s">
        <v>624</v>
      </c>
      <c r="D62" s="6" t="s">
        <v>997</v>
      </c>
      <c r="E62" s="6" t="s">
        <v>1494</v>
      </c>
      <c r="F62" s="24">
        <v>6</v>
      </c>
      <c r="G62" s="24">
        <v>0</v>
      </c>
      <c r="H62" s="24">
        <f t="shared" si="20"/>
        <v>0</v>
      </c>
      <c r="I62" s="24">
        <f t="shared" si="21"/>
        <v>0</v>
      </c>
      <c r="J62" s="24">
        <f t="shared" si="22"/>
        <v>0</v>
      </c>
      <c r="K62" s="24">
        <v>0</v>
      </c>
      <c r="L62" s="24">
        <f t="shared" si="23"/>
        <v>0</v>
      </c>
      <c r="M62" s="36" t="s">
        <v>1523</v>
      </c>
      <c r="N62" s="36" t="s">
        <v>1526</v>
      </c>
      <c r="O62" s="24">
        <f t="shared" si="24"/>
        <v>0</v>
      </c>
      <c r="Z62" s="24">
        <f t="shared" si="25"/>
        <v>0</v>
      </c>
      <c r="AA62" s="24">
        <f t="shared" si="26"/>
        <v>0</v>
      </c>
      <c r="AB62" s="24">
        <f t="shared" si="27"/>
        <v>0</v>
      </c>
      <c r="AD62" s="39">
        <v>15</v>
      </c>
      <c r="AE62" s="39">
        <f>G62*1</f>
        <v>0</v>
      </c>
      <c r="AF62" s="39">
        <f>G62*(1-1)</f>
        <v>0</v>
      </c>
      <c r="AM62" s="39">
        <f t="shared" si="28"/>
        <v>0</v>
      </c>
      <c r="AN62" s="39">
        <f t="shared" si="29"/>
        <v>0</v>
      </c>
      <c r="AO62" s="40" t="s">
        <v>1544</v>
      </c>
      <c r="AP62" s="40" t="s">
        <v>1599</v>
      </c>
      <c r="AQ62" s="31" t="s">
        <v>1607</v>
      </c>
    </row>
    <row r="63" spans="1:43" ht="12.75">
      <c r="A63" s="5" t="s">
        <v>34</v>
      </c>
      <c r="B63" s="5" t="s">
        <v>588</v>
      </c>
      <c r="C63" s="5" t="s">
        <v>625</v>
      </c>
      <c r="D63" s="5" t="s">
        <v>998</v>
      </c>
      <c r="E63" s="5" t="s">
        <v>1494</v>
      </c>
      <c r="F63" s="22">
        <v>11</v>
      </c>
      <c r="G63" s="22">
        <v>0</v>
      </c>
      <c r="H63" s="22">
        <f t="shared" si="20"/>
        <v>0</v>
      </c>
      <c r="I63" s="22">
        <f t="shared" si="21"/>
        <v>0</v>
      </c>
      <c r="J63" s="22">
        <f t="shared" si="22"/>
        <v>0</v>
      </c>
      <c r="K63" s="22">
        <v>0</v>
      </c>
      <c r="L63" s="22">
        <f t="shared" si="23"/>
        <v>0</v>
      </c>
      <c r="M63" s="35" t="s">
        <v>1523</v>
      </c>
      <c r="N63" s="35" t="s">
        <v>7</v>
      </c>
      <c r="O63" s="22">
        <f t="shared" si="24"/>
        <v>0</v>
      </c>
      <c r="Z63" s="22">
        <f t="shared" si="25"/>
        <v>0</v>
      </c>
      <c r="AA63" s="22">
        <f t="shared" si="26"/>
        <v>0</v>
      </c>
      <c r="AB63" s="22">
        <f t="shared" si="27"/>
        <v>0</v>
      </c>
      <c r="AD63" s="39">
        <v>15</v>
      </c>
      <c r="AE63" s="39">
        <f>G63*0</f>
        <v>0</v>
      </c>
      <c r="AF63" s="39">
        <f>G63*(1-0)</f>
        <v>0</v>
      </c>
      <c r="AM63" s="39">
        <f t="shared" si="28"/>
        <v>0</v>
      </c>
      <c r="AN63" s="39">
        <f t="shared" si="29"/>
        <v>0</v>
      </c>
      <c r="AO63" s="40" t="s">
        <v>1544</v>
      </c>
      <c r="AP63" s="40" t="s">
        <v>1599</v>
      </c>
      <c r="AQ63" s="31" t="s">
        <v>1607</v>
      </c>
    </row>
    <row r="64" spans="1:43" ht="12.75">
      <c r="A64" s="5" t="s">
        <v>35</v>
      </c>
      <c r="B64" s="5" t="s">
        <v>588</v>
      </c>
      <c r="C64" s="5" t="s">
        <v>626</v>
      </c>
      <c r="D64" s="5" t="s">
        <v>999</v>
      </c>
      <c r="E64" s="5" t="s">
        <v>1494</v>
      </c>
      <c r="F64" s="22">
        <v>6</v>
      </c>
      <c r="G64" s="22">
        <v>0</v>
      </c>
      <c r="H64" s="22">
        <f t="shared" si="20"/>
        <v>0</v>
      </c>
      <c r="I64" s="22">
        <f t="shared" si="21"/>
        <v>0</v>
      </c>
      <c r="J64" s="22">
        <f t="shared" si="22"/>
        <v>0</v>
      </c>
      <c r="K64" s="22">
        <v>1E-05</v>
      </c>
      <c r="L64" s="22">
        <f t="shared" si="23"/>
        <v>6.000000000000001E-05</v>
      </c>
      <c r="M64" s="35" t="s">
        <v>1523</v>
      </c>
      <c r="N64" s="35" t="s">
        <v>7</v>
      </c>
      <c r="O64" s="22">
        <f t="shared" si="24"/>
        <v>0</v>
      </c>
      <c r="Z64" s="22">
        <f t="shared" si="25"/>
        <v>0</v>
      </c>
      <c r="AA64" s="22">
        <f t="shared" si="26"/>
        <v>0</v>
      </c>
      <c r="AB64" s="22">
        <f t="shared" si="27"/>
        <v>0</v>
      </c>
      <c r="AD64" s="39">
        <v>15</v>
      </c>
      <c r="AE64" s="39">
        <f>G64*0.0277644230769231</f>
        <v>0</v>
      </c>
      <c r="AF64" s="39">
        <f>G64*(1-0.0277644230769231)</f>
        <v>0</v>
      </c>
      <c r="AM64" s="39">
        <f t="shared" si="28"/>
        <v>0</v>
      </c>
      <c r="AN64" s="39">
        <f t="shared" si="29"/>
        <v>0</v>
      </c>
      <c r="AO64" s="40" t="s">
        <v>1544</v>
      </c>
      <c r="AP64" s="40" t="s">
        <v>1599</v>
      </c>
      <c r="AQ64" s="31" t="s">
        <v>1607</v>
      </c>
    </row>
    <row r="65" spans="1:43" ht="12.75">
      <c r="A65" s="5" t="s">
        <v>36</v>
      </c>
      <c r="B65" s="5" t="s">
        <v>588</v>
      </c>
      <c r="C65" s="5" t="s">
        <v>627</v>
      </c>
      <c r="D65" s="5" t="s">
        <v>1000</v>
      </c>
      <c r="E65" s="5" t="s">
        <v>1494</v>
      </c>
      <c r="F65" s="22">
        <v>17</v>
      </c>
      <c r="G65" s="22">
        <v>0</v>
      </c>
      <c r="H65" s="22">
        <f t="shared" si="20"/>
        <v>0</v>
      </c>
      <c r="I65" s="22">
        <f t="shared" si="21"/>
        <v>0</v>
      </c>
      <c r="J65" s="22">
        <f t="shared" si="22"/>
        <v>0</v>
      </c>
      <c r="K65" s="22">
        <v>0</v>
      </c>
      <c r="L65" s="22">
        <f t="shared" si="23"/>
        <v>0</v>
      </c>
      <c r="M65" s="35" t="s">
        <v>1523</v>
      </c>
      <c r="N65" s="35" t="s">
        <v>7</v>
      </c>
      <c r="O65" s="22">
        <f t="shared" si="24"/>
        <v>0</v>
      </c>
      <c r="Z65" s="22">
        <f t="shared" si="25"/>
        <v>0</v>
      </c>
      <c r="AA65" s="22">
        <f t="shared" si="26"/>
        <v>0</v>
      </c>
      <c r="AB65" s="22">
        <f t="shared" si="27"/>
        <v>0</v>
      </c>
      <c r="AD65" s="39">
        <v>15</v>
      </c>
      <c r="AE65" s="39">
        <f>G65*0</f>
        <v>0</v>
      </c>
      <c r="AF65" s="39">
        <f>G65*(1-0)</f>
        <v>0</v>
      </c>
      <c r="AM65" s="39">
        <f t="shared" si="28"/>
        <v>0</v>
      </c>
      <c r="AN65" s="39">
        <f t="shared" si="29"/>
        <v>0</v>
      </c>
      <c r="AO65" s="40" t="s">
        <v>1544</v>
      </c>
      <c r="AP65" s="40" t="s">
        <v>1599</v>
      </c>
      <c r="AQ65" s="31" t="s">
        <v>1607</v>
      </c>
    </row>
    <row r="66" spans="1:43" ht="12.75">
      <c r="A66" s="6" t="s">
        <v>37</v>
      </c>
      <c r="B66" s="6" t="s">
        <v>588</v>
      </c>
      <c r="C66" s="6" t="s">
        <v>628</v>
      </c>
      <c r="D66" s="6" t="s">
        <v>1001</v>
      </c>
      <c r="E66" s="6" t="s">
        <v>1494</v>
      </c>
      <c r="F66" s="24">
        <v>11</v>
      </c>
      <c r="G66" s="24">
        <v>0</v>
      </c>
      <c r="H66" s="24">
        <f t="shared" si="20"/>
        <v>0</v>
      </c>
      <c r="I66" s="24">
        <f t="shared" si="21"/>
        <v>0</v>
      </c>
      <c r="J66" s="24">
        <f t="shared" si="22"/>
        <v>0</v>
      </c>
      <c r="K66" s="24">
        <v>0</v>
      </c>
      <c r="L66" s="24">
        <f t="shared" si="23"/>
        <v>0</v>
      </c>
      <c r="M66" s="36" t="s">
        <v>1523</v>
      </c>
      <c r="N66" s="36" t="s">
        <v>1526</v>
      </c>
      <c r="O66" s="24">
        <f t="shared" si="24"/>
        <v>0</v>
      </c>
      <c r="Z66" s="24">
        <f t="shared" si="25"/>
        <v>0</v>
      </c>
      <c r="AA66" s="24">
        <f t="shared" si="26"/>
        <v>0</v>
      </c>
      <c r="AB66" s="24">
        <f t="shared" si="27"/>
        <v>0</v>
      </c>
      <c r="AD66" s="39">
        <v>15</v>
      </c>
      <c r="AE66" s="39">
        <f>G66*1</f>
        <v>0</v>
      </c>
      <c r="AF66" s="39">
        <f>G66*(1-1)</f>
        <v>0</v>
      </c>
      <c r="AM66" s="39">
        <f t="shared" si="28"/>
        <v>0</v>
      </c>
      <c r="AN66" s="39">
        <f t="shared" si="29"/>
        <v>0</v>
      </c>
      <c r="AO66" s="40" t="s">
        <v>1544</v>
      </c>
      <c r="AP66" s="40" t="s">
        <v>1599</v>
      </c>
      <c r="AQ66" s="31" t="s">
        <v>1607</v>
      </c>
    </row>
    <row r="67" spans="1:43" ht="12.75">
      <c r="A67" s="6" t="s">
        <v>38</v>
      </c>
      <c r="B67" s="6" t="s">
        <v>588</v>
      </c>
      <c r="C67" s="6" t="s">
        <v>629</v>
      </c>
      <c r="D67" s="6" t="s">
        <v>1002</v>
      </c>
      <c r="E67" s="6" t="s">
        <v>1494</v>
      </c>
      <c r="F67" s="24">
        <v>6</v>
      </c>
      <c r="G67" s="24">
        <v>0</v>
      </c>
      <c r="H67" s="24">
        <f t="shared" si="20"/>
        <v>0</v>
      </c>
      <c r="I67" s="24">
        <f t="shared" si="21"/>
        <v>0</v>
      </c>
      <c r="J67" s="24">
        <f t="shared" si="22"/>
        <v>0</v>
      </c>
      <c r="K67" s="24">
        <v>0.0018</v>
      </c>
      <c r="L67" s="24">
        <f t="shared" si="23"/>
        <v>0.0108</v>
      </c>
      <c r="M67" s="36" t="s">
        <v>1523</v>
      </c>
      <c r="N67" s="36" t="s">
        <v>1526</v>
      </c>
      <c r="O67" s="24">
        <f t="shared" si="24"/>
        <v>0</v>
      </c>
      <c r="Z67" s="24">
        <f t="shared" si="25"/>
        <v>0</v>
      </c>
      <c r="AA67" s="24">
        <f t="shared" si="26"/>
        <v>0</v>
      </c>
      <c r="AB67" s="24">
        <f t="shared" si="27"/>
        <v>0</v>
      </c>
      <c r="AD67" s="39">
        <v>15</v>
      </c>
      <c r="AE67" s="39">
        <f>G67*1</f>
        <v>0</v>
      </c>
      <c r="AF67" s="39">
        <f>G67*(1-1)</f>
        <v>0</v>
      </c>
      <c r="AM67" s="39">
        <f t="shared" si="28"/>
        <v>0</v>
      </c>
      <c r="AN67" s="39">
        <f t="shared" si="29"/>
        <v>0</v>
      </c>
      <c r="AO67" s="40" t="s">
        <v>1544</v>
      </c>
      <c r="AP67" s="40" t="s">
        <v>1599</v>
      </c>
      <c r="AQ67" s="31" t="s">
        <v>1607</v>
      </c>
    </row>
    <row r="68" spans="1:37" ht="12.75">
      <c r="A68" s="4"/>
      <c r="B68" s="14" t="s">
        <v>588</v>
      </c>
      <c r="C68" s="14" t="s">
        <v>630</v>
      </c>
      <c r="D68" s="104" t="s">
        <v>1003</v>
      </c>
      <c r="E68" s="105"/>
      <c r="F68" s="105"/>
      <c r="G68" s="105"/>
      <c r="H68" s="42">
        <f>SUM(H69:H71)</f>
        <v>0</v>
      </c>
      <c r="I68" s="42">
        <f>SUM(I69:I71)</f>
        <v>0</v>
      </c>
      <c r="J68" s="42">
        <f>H68+I68</f>
        <v>0</v>
      </c>
      <c r="K68" s="31"/>
      <c r="L68" s="42">
        <f>SUM(L69:L71)</f>
        <v>0.8200799999999999</v>
      </c>
      <c r="M68" s="31"/>
      <c r="P68" s="42">
        <f>IF(Q68="PR",J68,SUM(O69:O71))</f>
        <v>0</v>
      </c>
      <c r="Q68" s="31" t="s">
        <v>1530</v>
      </c>
      <c r="R68" s="42">
        <f>IF(Q68="HS",H68,0)</f>
        <v>0</v>
      </c>
      <c r="S68" s="42">
        <f>IF(Q68="HS",I68-P68,0)</f>
        <v>0</v>
      </c>
      <c r="T68" s="42">
        <f>IF(Q68="PS",H68,0)</f>
        <v>0</v>
      </c>
      <c r="U68" s="42">
        <f>IF(Q68="PS",I68-P68,0)</f>
        <v>0</v>
      </c>
      <c r="V68" s="42">
        <f>IF(Q68="MP",H68,0)</f>
        <v>0</v>
      </c>
      <c r="W68" s="42">
        <f>IF(Q68="MP",I68-P68,0)</f>
        <v>0</v>
      </c>
      <c r="X68" s="42">
        <f>IF(Q68="OM",H68,0)</f>
        <v>0</v>
      </c>
      <c r="Y68" s="31" t="s">
        <v>588</v>
      </c>
      <c r="AI68" s="42">
        <f>SUM(Z69:Z71)</f>
        <v>0</v>
      </c>
      <c r="AJ68" s="42">
        <f>SUM(AA69:AA71)</f>
        <v>0</v>
      </c>
      <c r="AK68" s="42">
        <f>SUM(AB69:AB71)</f>
        <v>0</v>
      </c>
    </row>
    <row r="69" spans="1:43" ht="12.75">
      <c r="A69" s="5" t="s">
        <v>39</v>
      </c>
      <c r="B69" s="5" t="s">
        <v>588</v>
      </c>
      <c r="C69" s="5" t="s">
        <v>631</v>
      </c>
      <c r="D69" s="5" t="s">
        <v>1004</v>
      </c>
      <c r="E69" s="5" t="s">
        <v>1493</v>
      </c>
      <c r="F69" s="22">
        <v>25.3</v>
      </c>
      <c r="G69" s="22">
        <v>0</v>
      </c>
      <c r="H69" s="22">
        <f>F69*AE69</f>
        <v>0</v>
      </c>
      <c r="I69" s="22">
        <f>J69-H69</f>
        <v>0</v>
      </c>
      <c r="J69" s="22">
        <f>F69*G69</f>
        <v>0</v>
      </c>
      <c r="K69" s="22">
        <v>0</v>
      </c>
      <c r="L69" s="22">
        <f>F69*K69</f>
        <v>0</v>
      </c>
      <c r="M69" s="35" t="s">
        <v>1523</v>
      </c>
      <c r="N69" s="35" t="s">
        <v>7</v>
      </c>
      <c r="O69" s="22">
        <f>IF(N69="5",I69,0)</f>
        <v>0</v>
      </c>
      <c r="Z69" s="22">
        <f>IF(AD69=0,J69,0)</f>
        <v>0</v>
      </c>
      <c r="AA69" s="22">
        <f>IF(AD69=15,J69,0)</f>
        <v>0</v>
      </c>
      <c r="AB69" s="22">
        <f>IF(AD69=21,J69,0)</f>
        <v>0</v>
      </c>
      <c r="AD69" s="39">
        <v>15</v>
      </c>
      <c r="AE69" s="39">
        <f>G69*0</f>
        <v>0</v>
      </c>
      <c r="AF69" s="39">
        <f>G69*(1-0)</f>
        <v>0</v>
      </c>
      <c r="AM69" s="39">
        <f>F69*AE69</f>
        <v>0</v>
      </c>
      <c r="AN69" s="39">
        <f>F69*AF69</f>
        <v>0</v>
      </c>
      <c r="AO69" s="40" t="s">
        <v>1545</v>
      </c>
      <c r="AP69" s="40" t="s">
        <v>1600</v>
      </c>
      <c r="AQ69" s="31" t="s">
        <v>1607</v>
      </c>
    </row>
    <row r="70" spans="1:43" ht="12.75">
      <c r="A70" s="5" t="s">
        <v>40</v>
      </c>
      <c r="B70" s="5" t="s">
        <v>588</v>
      </c>
      <c r="C70" s="5" t="s">
        <v>632</v>
      </c>
      <c r="D70" s="5" t="s">
        <v>1005</v>
      </c>
      <c r="E70" s="5" t="s">
        <v>1495</v>
      </c>
      <c r="F70" s="22">
        <v>36</v>
      </c>
      <c r="G70" s="22">
        <v>0</v>
      </c>
      <c r="H70" s="22">
        <f>F70*AE70</f>
        <v>0</v>
      </c>
      <c r="I70" s="22">
        <f>J70-H70</f>
        <v>0</v>
      </c>
      <c r="J70" s="22">
        <f>F70*G70</f>
        <v>0</v>
      </c>
      <c r="K70" s="22">
        <v>0.00518</v>
      </c>
      <c r="L70" s="22">
        <f>F70*K70</f>
        <v>0.18647999999999998</v>
      </c>
      <c r="M70" s="35" t="s">
        <v>1523</v>
      </c>
      <c r="N70" s="35" t="s">
        <v>7</v>
      </c>
      <c r="O70" s="22">
        <f>IF(N70="5",I70,0)</f>
        <v>0</v>
      </c>
      <c r="Z70" s="22">
        <f>IF(AD70=0,J70,0)</f>
        <v>0</v>
      </c>
      <c r="AA70" s="22">
        <f>IF(AD70=15,J70,0)</f>
        <v>0</v>
      </c>
      <c r="AB70" s="22">
        <f>IF(AD70=21,J70,0)</f>
        <v>0</v>
      </c>
      <c r="AD70" s="39">
        <v>15</v>
      </c>
      <c r="AE70" s="39">
        <f>G70*0.0526060606060606</f>
        <v>0</v>
      </c>
      <c r="AF70" s="39">
        <f>G70*(1-0.0526060606060606)</f>
        <v>0</v>
      </c>
      <c r="AM70" s="39">
        <f>F70*AE70</f>
        <v>0</v>
      </c>
      <c r="AN70" s="39">
        <f>F70*AF70</f>
        <v>0</v>
      </c>
      <c r="AO70" s="40" t="s">
        <v>1545</v>
      </c>
      <c r="AP70" s="40" t="s">
        <v>1600</v>
      </c>
      <c r="AQ70" s="31" t="s">
        <v>1607</v>
      </c>
    </row>
    <row r="71" spans="1:43" ht="12.75">
      <c r="A71" s="6" t="s">
        <v>41</v>
      </c>
      <c r="B71" s="6" t="s">
        <v>588</v>
      </c>
      <c r="C71" s="6" t="s">
        <v>633</v>
      </c>
      <c r="D71" s="6" t="s">
        <v>1006</v>
      </c>
      <c r="E71" s="6" t="s">
        <v>1493</v>
      </c>
      <c r="F71" s="24">
        <v>33</v>
      </c>
      <c r="G71" s="24">
        <v>0</v>
      </c>
      <c r="H71" s="24">
        <f>F71*AE71</f>
        <v>0</v>
      </c>
      <c r="I71" s="24">
        <f>J71-H71</f>
        <v>0</v>
      </c>
      <c r="J71" s="24">
        <f>F71*G71</f>
        <v>0</v>
      </c>
      <c r="K71" s="24">
        <v>0.0192</v>
      </c>
      <c r="L71" s="24">
        <f>F71*K71</f>
        <v>0.6335999999999999</v>
      </c>
      <c r="M71" s="36" t="s">
        <v>1523</v>
      </c>
      <c r="N71" s="36" t="s">
        <v>1526</v>
      </c>
      <c r="O71" s="24">
        <f>IF(N71="5",I71,0)</f>
        <v>0</v>
      </c>
      <c r="Z71" s="24">
        <f>IF(AD71=0,J71,0)</f>
        <v>0</v>
      </c>
      <c r="AA71" s="24">
        <f>IF(AD71=15,J71,0)</f>
        <v>0</v>
      </c>
      <c r="AB71" s="24">
        <f>IF(AD71=21,J71,0)</f>
        <v>0</v>
      </c>
      <c r="AD71" s="39">
        <v>15</v>
      </c>
      <c r="AE71" s="39">
        <f>G71*1</f>
        <v>0</v>
      </c>
      <c r="AF71" s="39">
        <f>G71*(1-1)</f>
        <v>0</v>
      </c>
      <c r="AM71" s="39">
        <f>F71*AE71</f>
        <v>0</v>
      </c>
      <c r="AN71" s="39">
        <f>F71*AF71</f>
        <v>0</v>
      </c>
      <c r="AO71" s="40" t="s">
        <v>1545</v>
      </c>
      <c r="AP71" s="40" t="s">
        <v>1600</v>
      </c>
      <c r="AQ71" s="31" t="s">
        <v>1607</v>
      </c>
    </row>
    <row r="72" spans="4:6" ht="10.5" customHeight="1">
      <c r="D72" s="17" t="s">
        <v>39</v>
      </c>
      <c r="F72" s="23">
        <v>33</v>
      </c>
    </row>
    <row r="73" spans="1:37" ht="12.75">
      <c r="A73" s="4"/>
      <c r="B73" s="14" t="s">
        <v>588</v>
      </c>
      <c r="C73" s="14" t="s">
        <v>634</v>
      </c>
      <c r="D73" s="104" t="s">
        <v>1007</v>
      </c>
      <c r="E73" s="105"/>
      <c r="F73" s="105"/>
      <c r="G73" s="105"/>
      <c r="H73" s="42">
        <f>SUM(H74:H74)</f>
        <v>0</v>
      </c>
      <c r="I73" s="42">
        <f>SUM(I74:I74)</f>
        <v>0</v>
      </c>
      <c r="J73" s="42">
        <f>H73+I73</f>
        <v>0</v>
      </c>
      <c r="K73" s="31"/>
      <c r="L73" s="42">
        <f>SUM(L74:L74)</f>
        <v>0.085</v>
      </c>
      <c r="M73" s="31"/>
      <c r="P73" s="42">
        <f>IF(Q73="PR",J73,SUM(O74:O74))</f>
        <v>0</v>
      </c>
      <c r="Q73" s="31" t="s">
        <v>1530</v>
      </c>
      <c r="R73" s="42">
        <f>IF(Q73="HS",H73,0)</f>
        <v>0</v>
      </c>
      <c r="S73" s="42">
        <f>IF(Q73="HS",I73-P73,0)</f>
        <v>0</v>
      </c>
      <c r="T73" s="42">
        <f>IF(Q73="PS",H73,0)</f>
        <v>0</v>
      </c>
      <c r="U73" s="42">
        <f>IF(Q73="PS",I73-P73,0)</f>
        <v>0</v>
      </c>
      <c r="V73" s="42">
        <f>IF(Q73="MP",H73,0)</f>
        <v>0</v>
      </c>
      <c r="W73" s="42">
        <f>IF(Q73="MP",I73-P73,0)</f>
        <v>0</v>
      </c>
      <c r="X73" s="42">
        <f>IF(Q73="OM",H73,0)</f>
        <v>0</v>
      </c>
      <c r="Y73" s="31" t="s">
        <v>588</v>
      </c>
      <c r="AI73" s="42">
        <f>SUM(Z74:Z74)</f>
        <v>0</v>
      </c>
      <c r="AJ73" s="42">
        <f>SUM(AA74:AA74)</f>
        <v>0</v>
      </c>
      <c r="AK73" s="42">
        <f>SUM(AB74:AB74)</f>
        <v>0</v>
      </c>
    </row>
    <row r="74" spans="1:43" ht="12.75">
      <c r="A74" s="5" t="s">
        <v>42</v>
      </c>
      <c r="B74" s="5" t="s">
        <v>588</v>
      </c>
      <c r="C74" s="5" t="s">
        <v>635</v>
      </c>
      <c r="D74" s="5" t="s">
        <v>1008</v>
      </c>
      <c r="E74" s="5" t="s">
        <v>1493</v>
      </c>
      <c r="F74" s="22">
        <v>85</v>
      </c>
      <c r="G74" s="22">
        <v>0</v>
      </c>
      <c r="H74" s="22">
        <f>F74*AE74</f>
        <v>0</v>
      </c>
      <c r="I74" s="22">
        <f>J74-H74</f>
        <v>0</v>
      </c>
      <c r="J74" s="22">
        <f>F74*G74</f>
        <v>0</v>
      </c>
      <c r="K74" s="22">
        <v>0.001</v>
      </c>
      <c r="L74" s="22">
        <f>F74*K74</f>
        <v>0.085</v>
      </c>
      <c r="M74" s="35" t="s">
        <v>1523</v>
      </c>
      <c r="N74" s="35" t="s">
        <v>9</v>
      </c>
      <c r="O74" s="22">
        <f>IF(N74="5",I74,0)</f>
        <v>0</v>
      </c>
      <c r="Z74" s="22">
        <f>IF(AD74=0,J74,0)</f>
        <v>0</v>
      </c>
      <c r="AA74" s="22">
        <f>IF(AD74=15,J74,0)</f>
        <v>0</v>
      </c>
      <c r="AB74" s="22">
        <f>IF(AD74=21,J74,0)</f>
        <v>0</v>
      </c>
      <c r="AD74" s="39">
        <v>15</v>
      </c>
      <c r="AE74" s="39">
        <f>G74*0</f>
        <v>0</v>
      </c>
      <c r="AF74" s="39">
        <f>G74*(1-0)</f>
        <v>0</v>
      </c>
      <c r="AM74" s="39">
        <f>F74*AE74</f>
        <v>0</v>
      </c>
      <c r="AN74" s="39">
        <f>F74*AF74</f>
        <v>0</v>
      </c>
      <c r="AO74" s="40" t="s">
        <v>1546</v>
      </c>
      <c r="AP74" s="40" t="s">
        <v>1600</v>
      </c>
      <c r="AQ74" s="31" t="s">
        <v>1607</v>
      </c>
    </row>
    <row r="75" ht="12.75">
      <c r="D75" s="18" t="s">
        <v>1009</v>
      </c>
    </row>
    <row r="76" spans="1:37" ht="12.75">
      <c r="A76" s="4"/>
      <c r="B76" s="14" t="s">
        <v>588</v>
      </c>
      <c r="C76" s="14" t="s">
        <v>636</v>
      </c>
      <c r="D76" s="104" t="s">
        <v>1010</v>
      </c>
      <c r="E76" s="105"/>
      <c r="F76" s="105"/>
      <c r="G76" s="105"/>
      <c r="H76" s="42">
        <f>SUM(H77:H77)</f>
        <v>0</v>
      </c>
      <c r="I76" s="42">
        <f>SUM(I77:I77)</f>
        <v>0</v>
      </c>
      <c r="J76" s="42">
        <f>H76+I76</f>
        <v>0</v>
      </c>
      <c r="K76" s="31"/>
      <c r="L76" s="42">
        <f>SUM(L77:L77)</f>
        <v>0.0708124</v>
      </c>
      <c r="M76" s="31"/>
      <c r="P76" s="42">
        <f>IF(Q76="PR",J76,SUM(O77:O77))</f>
        <v>0</v>
      </c>
      <c r="Q76" s="31" t="s">
        <v>1530</v>
      </c>
      <c r="R76" s="42">
        <f>IF(Q76="HS",H76,0)</f>
        <v>0</v>
      </c>
      <c r="S76" s="42">
        <f>IF(Q76="HS",I76-P76,0)</f>
        <v>0</v>
      </c>
      <c r="T76" s="42">
        <f>IF(Q76="PS",H76,0)</f>
        <v>0</v>
      </c>
      <c r="U76" s="42">
        <f>IF(Q76="PS",I76-P76,0)</f>
        <v>0</v>
      </c>
      <c r="V76" s="42">
        <f>IF(Q76="MP",H76,0)</f>
        <v>0</v>
      </c>
      <c r="W76" s="42">
        <f>IF(Q76="MP",I76-P76,0)</f>
        <v>0</v>
      </c>
      <c r="X76" s="42">
        <f>IF(Q76="OM",H76,0)</f>
        <v>0</v>
      </c>
      <c r="Y76" s="31" t="s">
        <v>588</v>
      </c>
      <c r="AI76" s="42">
        <f>SUM(Z77:Z77)</f>
        <v>0</v>
      </c>
      <c r="AJ76" s="42">
        <f>SUM(AA77:AA77)</f>
        <v>0</v>
      </c>
      <c r="AK76" s="42">
        <f>SUM(AB77:AB77)</f>
        <v>0</v>
      </c>
    </row>
    <row r="77" spans="1:43" ht="12.75">
      <c r="A77" s="5" t="s">
        <v>43</v>
      </c>
      <c r="B77" s="5" t="s">
        <v>588</v>
      </c>
      <c r="C77" s="5" t="s">
        <v>637</v>
      </c>
      <c r="D77" s="5" t="s">
        <v>1011</v>
      </c>
      <c r="E77" s="5" t="s">
        <v>1493</v>
      </c>
      <c r="F77" s="22">
        <v>164.68</v>
      </c>
      <c r="G77" s="22">
        <v>0</v>
      </c>
      <c r="H77" s="22">
        <f>F77*AE77</f>
        <v>0</v>
      </c>
      <c r="I77" s="22">
        <f>J77-H77</f>
        <v>0</v>
      </c>
      <c r="J77" s="22">
        <f>F77*G77</f>
        <v>0</v>
      </c>
      <c r="K77" s="22">
        <v>0.00043</v>
      </c>
      <c r="L77" s="22">
        <f>F77*K77</f>
        <v>0.0708124</v>
      </c>
      <c r="M77" s="35" t="s">
        <v>1523</v>
      </c>
      <c r="N77" s="35" t="s">
        <v>7</v>
      </c>
      <c r="O77" s="22">
        <f>IF(N77="5",I77,0)</f>
        <v>0</v>
      </c>
      <c r="Z77" s="22">
        <f>IF(AD77=0,J77,0)</f>
        <v>0</v>
      </c>
      <c r="AA77" s="22">
        <f>IF(AD77=15,J77,0)</f>
        <v>0</v>
      </c>
      <c r="AB77" s="22">
        <f>IF(AD77=21,J77,0)</f>
        <v>0</v>
      </c>
      <c r="AD77" s="39">
        <v>15</v>
      </c>
      <c r="AE77" s="39">
        <f>G77*0.336787148594378</f>
        <v>0</v>
      </c>
      <c r="AF77" s="39">
        <f>G77*(1-0.336787148594378)</f>
        <v>0</v>
      </c>
      <c r="AM77" s="39">
        <f>F77*AE77</f>
        <v>0</v>
      </c>
      <c r="AN77" s="39">
        <f>F77*AF77</f>
        <v>0</v>
      </c>
      <c r="AO77" s="40" t="s">
        <v>1547</v>
      </c>
      <c r="AP77" s="40" t="s">
        <v>1600</v>
      </c>
      <c r="AQ77" s="31" t="s">
        <v>1607</v>
      </c>
    </row>
    <row r="78" spans="1:37" ht="12.75">
      <c r="A78" s="4"/>
      <c r="B78" s="14" t="s">
        <v>588</v>
      </c>
      <c r="C78" s="14" t="s">
        <v>638</v>
      </c>
      <c r="D78" s="104" t="s">
        <v>1012</v>
      </c>
      <c r="E78" s="105"/>
      <c r="F78" s="105"/>
      <c r="G78" s="105"/>
      <c r="H78" s="42">
        <f>SUM(H79:H81)</f>
        <v>0</v>
      </c>
      <c r="I78" s="42">
        <f>SUM(I79:I81)</f>
        <v>0</v>
      </c>
      <c r="J78" s="42">
        <f>H78+I78</f>
        <v>0</v>
      </c>
      <c r="K78" s="31"/>
      <c r="L78" s="42">
        <f>SUM(L79:L81)</f>
        <v>0.0379073</v>
      </c>
      <c r="M78" s="31"/>
      <c r="P78" s="42">
        <f>IF(Q78="PR",J78,SUM(O79:O81))</f>
        <v>0</v>
      </c>
      <c r="Q78" s="31" t="s">
        <v>1530</v>
      </c>
      <c r="R78" s="42">
        <f>IF(Q78="HS",H78,0)</f>
        <v>0</v>
      </c>
      <c r="S78" s="42">
        <f>IF(Q78="HS",I78-P78,0)</f>
        <v>0</v>
      </c>
      <c r="T78" s="42">
        <f>IF(Q78="PS",H78,0)</f>
        <v>0</v>
      </c>
      <c r="U78" s="42">
        <f>IF(Q78="PS",I78-P78,0)</f>
        <v>0</v>
      </c>
      <c r="V78" s="42">
        <f>IF(Q78="MP",H78,0)</f>
        <v>0</v>
      </c>
      <c r="W78" s="42">
        <f>IF(Q78="MP",I78-P78,0)</f>
        <v>0</v>
      </c>
      <c r="X78" s="42">
        <f>IF(Q78="OM",H78,0)</f>
        <v>0</v>
      </c>
      <c r="Y78" s="31" t="s">
        <v>588</v>
      </c>
      <c r="AI78" s="42">
        <f>SUM(Z79:Z81)</f>
        <v>0</v>
      </c>
      <c r="AJ78" s="42">
        <f>SUM(AA79:AA81)</f>
        <v>0</v>
      </c>
      <c r="AK78" s="42">
        <f>SUM(AB79:AB81)</f>
        <v>0</v>
      </c>
    </row>
    <row r="79" spans="1:43" ht="12.75">
      <c r="A79" s="5" t="s">
        <v>44</v>
      </c>
      <c r="B79" s="5" t="s">
        <v>588</v>
      </c>
      <c r="C79" s="5" t="s">
        <v>639</v>
      </c>
      <c r="D79" s="5" t="s">
        <v>1013</v>
      </c>
      <c r="E79" s="5" t="s">
        <v>1493</v>
      </c>
      <c r="F79" s="22">
        <v>790.73</v>
      </c>
      <c r="G79" s="22">
        <v>0</v>
      </c>
      <c r="H79" s="22">
        <f>F79*AE79</f>
        <v>0</v>
      </c>
      <c r="I79" s="22">
        <f>J79-H79</f>
        <v>0</v>
      </c>
      <c r="J79" s="22">
        <f>F79*G79</f>
        <v>0</v>
      </c>
      <c r="K79" s="22">
        <v>1E-05</v>
      </c>
      <c r="L79" s="22">
        <f>F79*K79</f>
        <v>0.0079073</v>
      </c>
      <c r="M79" s="35" t="s">
        <v>1523</v>
      </c>
      <c r="N79" s="35" t="s">
        <v>7</v>
      </c>
      <c r="O79" s="22">
        <f>IF(N79="5",I79,0)</f>
        <v>0</v>
      </c>
      <c r="Z79" s="22">
        <f>IF(AD79=0,J79,0)</f>
        <v>0</v>
      </c>
      <c r="AA79" s="22">
        <f>IF(AD79=15,J79,0)</f>
        <v>0</v>
      </c>
      <c r="AB79" s="22">
        <f>IF(AD79=21,J79,0)</f>
        <v>0</v>
      </c>
      <c r="AD79" s="39">
        <v>15</v>
      </c>
      <c r="AE79" s="39">
        <f>G79*0.0915384615384615</f>
        <v>0</v>
      </c>
      <c r="AF79" s="39">
        <f>G79*(1-0.0915384615384615)</f>
        <v>0</v>
      </c>
      <c r="AM79" s="39">
        <f>F79*AE79</f>
        <v>0</v>
      </c>
      <c r="AN79" s="39">
        <f>F79*AF79</f>
        <v>0</v>
      </c>
      <c r="AO79" s="40" t="s">
        <v>1548</v>
      </c>
      <c r="AP79" s="40" t="s">
        <v>1601</v>
      </c>
      <c r="AQ79" s="31" t="s">
        <v>1607</v>
      </c>
    </row>
    <row r="80" ht="12.75">
      <c r="D80" s="18" t="s">
        <v>1014</v>
      </c>
    </row>
    <row r="81" spans="1:43" ht="12.75">
      <c r="A81" s="6" t="s">
        <v>45</v>
      </c>
      <c r="B81" s="6" t="s">
        <v>588</v>
      </c>
      <c r="C81" s="6" t="s">
        <v>640</v>
      </c>
      <c r="D81" s="6" t="s">
        <v>1015</v>
      </c>
      <c r="E81" s="6" t="s">
        <v>1496</v>
      </c>
      <c r="F81" s="24">
        <v>30</v>
      </c>
      <c r="G81" s="24">
        <v>0</v>
      </c>
      <c r="H81" s="24">
        <f>F81*AE81</f>
        <v>0</v>
      </c>
      <c r="I81" s="24">
        <f>J81-H81</f>
        <v>0</v>
      </c>
      <c r="J81" s="24">
        <f>F81*G81</f>
        <v>0</v>
      </c>
      <c r="K81" s="24">
        <v>0.001</v>
      </c>
      <c r="L81" s="24">
        <f>F81*K81</f>
        <v>0.03</v>
      </c>
      <c r="M81" s="36" t="s">
        <v>1523</v>
      </c>
      <c r="N81" s="36" t="s">
        <v>1526</v>
      </c>
      <c r="O81" s="24">
        <f>IF(N81="5",I81,0)</f>
        <v>0</v>
      </c>
      <c r="Z81" s="24">
        <f>IF(AD81=0,J81,0)</f>
        <v>0</v>
      </c>
      <c r="AA81" s="24">
        <f>IF(AD81=15,J81,0)</f>
        <v>0</v>
      </c>
      <c r="AB81" s="24">
        <f>IF(AD81=21,J81,0)</f>
        <v>0</v>
      </c>
      <c r="AD81" s="39">
        <v>15</v>
      </c>
      <c r="AE81" s="39">
        <f>G81*1</f>
        <v>0</v>
      </c>
      <c r="AF81" s="39">
        <f>G81*(1-1)</f>
        <v>0</v>
      </c>
      <c r="AM81" s="39">
        <f>F81*AE81</f>
        <v>0</v>
      </c>
      <c r="AN81" s="39">
        <f>F81*AF81</f>
        <v>0</v>
      </c>
      <c r="AO81" s="40" t="s">
        <v>1548</v>
      </c>
      <c r="AP81" s="40" t="s">
        <v>1601</v>
      </c>
      <c r="AQ81" s="31" t="s">
        <v>1607</v>
      </c>
    </row>
    <row r="82" spans="1:37" ht="12.75">
      <c r="A82" s="4"/>
      <c r="B82" s="14" t="s">
        <v>588</v>
      </c>
      <c r="C82" s="14" t="s">
        <v>641</v>
      </c>
      <c r="D82" s="104" t="s">
        <v>1016</v>
      </c>
      <c r="E82" s="105"/>
      <c r="F82" s="105"/>
      <c r="G82" s="105"/>
      <c r="H82" s="42">
        <f>SUM(H83:H86)</f>
        <v>0</v>
      </c>
      <c r="I82" s="42">
        <f>SUM(I83:I86)</f>
        <v>0</v>
      </c>
      <c r="J82" s="42">
        <f>H82+I82</f>
        <v>0</v>
      </c>
      <c r="K82" s="31"/>
      <c r="L82" s="42">
        <f>SUM(L83:L86)</f>
        <v>0.3637358</v>
      </c>
      <c r="M82" s="31"/>
      <c r="P82" s="42">
        <f>IF(Q82="PR",J82,SUM(O83:O86))</f>
        <v>0</v>
      </c>
      <c r="Q82" s="31" t="s">
        <v>1530</v>
      </c>
      <c r="R82" s="42">
        <f>IF(Q82="HS",H82,0)</f>
        <v>0</v>
      </c>
      <c r="S82" s="42">
        <f>IF(Q82="HS",I82-P82,0)</f>
        <v>0</v>
      </c>
      <c r="T82" s="42">
        <f>IF(Q82="PS",H82,0)</f>
        <v>0</v>
      </c>
      <c r="U82" s="42">
        <f>IF(Q82="PS",I82-P82,0)</f>
        <v>0</v>
      </c>
      <c r="V82" s="42">
        <f>IF(Q82="MP",H82,0)</f>
        <v>0</v>
      </c>
      <c r="W82" s="42">
        <f>IF(Q82="MP",I82-P82,0)</f>
        <v>0</v>
      </c>
      <c r="X82" s="42">
        <f>IF(Q82="OM",H82,0)</f>
        <v>0</v>
      </c>
      <c r="Y82" s="31" t="s">
        <v>588</v>
      </c>
      <c r="AI82" s="42">
        <f>SUM(Z83:Z86)</f>
        <v>0</v>
      </c>
      <c r="AJ82" s="42">
        <f>SUM(AA83:AA86)</f>
        <v>0</v>
      </c>
      <c r="AK82" s="42">
        <f>SUM(AB83:AB86)</f>
        <v>0</v>
      </c>
    </row>
    <row r="83" spans="1:43" ht="12.75">
      <c r="A83" s="5" t="s">
        <v>46</v>
      </c>
      <c r="B83" s="5" t="s">
        <v>588</v>
      </c>
      <c r="C83" s="5" t="s">
        <v>642</v>
      </c>
      <c r="D83" s="5" t="s">
        <v>1017</v>
      </c>
      <c r="E83" s="5" t="s">
        <v>1493</v>
      </c>
      <c r="F83" s="22">
        <v>790.73</v>
      </c>
      <c r="G83" s="22">
        <v>0</v>
      </c>
      <c r="H83" s="22">
        <f>F83*AE83</f>
        <v>0</v>
      </c>
      <c r="I83" s="22">
        <f>J83-H83</f>
        <v>0</v>
      </c>
      <c r="J83" s="22">
        <f>F83*G83</f>
        <v>0</v>
      </c>
      <c r="K83" s="22">
        <v>0.00039</v>
      </c>
      <c r="L83" s="22">
        <f>F83*K83</f>
        <v>0.3083847</v>
      </c>
      <c r="M83" s="35" t="s">
        <v>1523</v>
      </c>
      <c r="N83" s="35" t="s">
        <v>7</v>
      </c>
      <c r="O83" s="22">
        <f>IF(N83="5",I83,0)</f>
        <v>0</v>
      </c>
      <c r="Z83" s="22">
        <f>IF(AD83=0,J83,0)</f>
        <v>0</v>
      </c>
      <c r="AA83" s="22">
        <f>IF(AD83=15,J83,0)</f>
        <v>0</v>
      </c>
      <c r="AB83" s="22">
        <f>IF(AD83=21,J83,0)</f>
        <v>0</v>
      </c>
      <c r="AD83" s="39">
        <v>15</v>
      </c>
      <c r="AE83" s="39">
        <f>G83*0.253731343283582</f>
        <v>0</v>
      </c>
      <c r="AF83" s="39">
        <f>G83*(1-0.253731343283582)</f>
        <v>0</v>
      </c>
      <c r="AM83" s="39">
        <f>F83*AE83</f>
        <v>0</v>
      </c>
      <c r="AN83" s="39">
        <f>F83*AF83</f>
        <v>0</v>
      </c>
      <c r="AO83" s="40" t="s">
        <v>1549</v>
      </c>
      <c r="AP83" s="40" t="s">
        <v>1601</v>
      </c>
      <c r="AQ83" s="31" t="s">
        <v>1607</v>
      </c>
    </row>
    <row r="84" ht="12.75">
      <c r="D84" s="18" t="s">
        <v>1018</v>
      </c>
    </row>
    <row r="85" spans="4:6" ht="10.5" customHeight="1">
      <c r="D85" s="17" t="s">
        <v>1019</v>
      </c>
      <c r="F85" s="23">
        <v>790.73</v>
      </c>
    </row>
    <row r="86" spans="1:43" ht="12.75">
      <c r="A86" s="5" t="s">
        <v>47</v>
      </c>
      <c r="B86" s="5" t="s">
        <v>588</v>
      </c>
      <c r="C86" s="5" t="s">
        <v>643</v>
      </c>
      <c r="D86" s="5" t="s">
        <v>1020</v>
      </c>
      <c r="E86" s="5" t="s">
        <v>1493</v>
      </c>
      <c r="F86" s="22">
        <v>790.73</v>
      </c>
      <c r="G86" s="22">
        <v>0</v>
      </c>
      <c r="H86" s="22">
        <f>F86*AE86</f>
        <v>0</v>
      </c>
      <c r="I86" s="22">
        <f>J86-H86</f>
        <v>0</v>
      </c>
      <c r="J86" s="22">
        <f>F86*G86</f>
        <v>0</v>
      </c>
      <c r="K86" s="22">
        <v>7E-05</v>
      </c>
      <c r="L86" s="22">
        <f>F86*K86</f>
        <v>0.05535109999999999</v>
      </c>
      <c r="M86" s="35" t="s">
        <v>1523</v>
      </c>
      <c r="N86" s="35" t="s">
        <v>7</v>
      </c>
      <c r="O86" s="22">
        <f>IF(N86="5",I86,0)</f>
        <v>0</v>
      </c>
      <c r="Z86" s="22">
        <f>IF(AD86=0,J86,0)</f>
        <v>0</v>
      </c>
      <c r="AA86" s="22">
        <f>IF(AD86=15,J86,0)</f>
        <v>0</v>
      </c>
      <c r="AB86" s="22">
        <f>IF(AD86=21,J86,0)</f>
        <v>0</v>
      </c>
      <c r="AD86" s="39">
        <v>15</v>
      </c>
      <c r="AE86" s="39">
        <f>G86*0.296066252587992</f>
        <v>0</v>
      </c>
      <c r="AF86" s="39">
        <f>G86*(1-0.296066252587992)</f>
        <v>0</v>
      </c>
      <c r="AM86" s="39">
        <f>F86*AE86</f>
        <v>0</v>
      </c>
      <c r="AN86" s="39">
        <f>F86*AF86</f>
        <v>0</v>
      </c>
      <c r="AO86" s="40" t="s">
        <v>1549</v>
      </c>
      <c r="AP86" s="40" t="s">
        <v>1601</v>
      </c>
      <c r="AQ86" s="31" t="s">
        <v>1607</v>
      </c>
    </row>
    <row r="87" ht="12.75">
      <c r="D87" s="18" t="s">
        <v>1014</v>
      </c>
    </row>
    <row r="88" spans="1:37" ht="12.75">
      <c r="A88" s="4"/>
      <c r="B88" s="14" t="s">
        <v>588</v>
      </c>
      <c r="C88" s="14" t="s">
        <v>96</v>
      </c>
      <c r="D88" s="104" t="s">
        <v>1021</v>
      </c>
      <c r="E88" s="105"/>
      <c r="F88" s="105"/>
      <c r="G88" s="105"/>
      <c r="H88" s="42">
        <f>SUM(H89:H89)</f>
        <v>0</v>
      </c>
      <c r="I88" s="42">
        <f>SUM(I89:I89)</f>
        <v>0</v>
      </c>
      <c r="J88" s="42">
        <f>H88+I88</f>
        <v>0</v>
      </c>
      <c r="K88" s="31"/>
      <c r="L88" s="42">
        <f>SUM(L89:L89)</f>
        <v>0</v>
      </c>
      <c r="M88" s="31"/>
      <c r="P88" s="42">
        <f>IF(Q88="PR",J88,SUM(O89:O89))</f>
        <v>0</v>
      </c>
      <c r="Q88" s="31" t="s">
        <v>1529</v>
      </c>
      <c r="R88" s="42">
        <f>IF(Q88="HS",H88,0)</f>
        <v>0</v>
      </c>
      <c r="S88" s="42">
        <f>IF(Q88="HS",I88-P88,0)</f>
        <v>0</v>
      </c>
      <c r="T88" s="42">
        <f>IF(Q88="PS",H88,0)</f>
        <v>0</v>
      </c>
      <c r="U88" s="42">
        <f>IF(Q88="PS",I88-P88,0)</f>
        <v>0</v>
      </c>
      <c r="V88" s="42">
        <f>IF(Q88="MP",H88,0)</f>
        <v>0</v>
      </c>
      <c r="W88" s="42">
        <f>IF(Q88="MP",I88-P88,0)</f>
        <v>0</v>
      </c>
      <c r="X88" s="42">
        <f>IF(Q88="OM",H88,0)</f>
        <v>0</v>
      </c>
      <c r="Y88" s="31" t="s">
        <v>588</v>
      </c>
      <c r="AI88" s="42">
        <f>SUM(Z89:Z89)</f>
        <v>0</v>
      </c>
      <c r="AJ88" s="42">
        <f>SUM(AA89:AA89)</f>
        <v>0</v>
      </c>
      <c r="AK88" s="42">
        <f>SUM(AB89:AB89)</f>
        <v>0</v>
      </c>
    </row>
    <row r="89" spans="1:43" ht="12.75">
      <c r="A89" s="5" t="s">
        <v>48</v>
      </c>
      <c r="B89" s="5" t="s">
        <v>588</v>
      </c>
      <c r="C89" s="5" t="s">
        <v>644</v>
      </c>
      <c r="D89" s="5" t="s">
        <v>1022</v>
      </c>
      <c r="E89" s="5" t="s">
        <v>1497</v>
      </c>
      <c r="F89" s="22">
        <v>150</v>
      </c>
      <c r="G89" s="22">
        <v>0</v>
      </c>
      <c r="H89" s="22">
        <f>F89*AE89</f>
        <v>0</v>
      </c>
      <c r="I89" s="22">
        <f>J89-H89</f>
        <v>0</v>
      </c>
      <c r="J89" s="22">
        <f>F89*G89</f>
        <v>0</v>
      </c>
      <c r="K89" s="22">
        <v>0</v>
      </c>
      <c r="L89" s="22">
        <f>F89*K89</f>
        <v>0</v>
      </c>
      <c r="M89" s="35" t="s">
        <v>1523</v>
      </c>
      <c r="N89" s="35" t="s">
        <v>7</v>
      </c>
      <c r="O89" s="22">
        <f>IF(N89="5",I89,0)</f>
        <v>0</v>
      </c>
      <c r="Z89" s="22">
        <f>IF(AD89=0,J89,0)</f>
        <v>0</v>
      </c>
      <c r="AA89" s="22">
        <f>IF(AD89=15,J89,0)</f>
        <v>0</v>
      </c>
      <c r="AB89" s="22">
        <f>IF(AD89=21,J89,0)</f>
        <v>0</v>
      </c>
      <c r="AD89" s="39">
        <v>15</v>
      </c>
      <c r="AE89" s="39">
        <f>G89*0</f>
        <v>0</v>
      </c>
      <c r="AF89" s="39">
        <f>G89*(1-0)</f>
        <v>0</v>
      </c>
      <c r="AM89" s="39">
        <f>F89*AE89</f>
        <v>0</v>
      </c>
      <c r="AN89" s="39">
        <f>F89*AF89</f>
        <v>0</v>
      </c>
      <c r="AO89" s="40" t="s">
        <v>1550</v>
      </c>
      <c r="AP89" s="40" t="s">
        <v>1602</v>
      </c>
      <c r="AQ89" s="31" t="s">
        <v>1607</v>
      </c>
    </row>
    <row r="90" ht="12.75">
      <c r="D90" s="18" t="s">
        <v>1023</v>
      </c>
    </row>
    <row r="91" spans="1:37" ht="12.75">
      <c r="A91" s="4"/>
      <c r="B91" s="14" t="s">
        <v>588</v>
      </c>
      <c r="C91" s="14" t="s">
        <v>100</v>
      </c>
      <c r="D91" s="104" t="s">
        <v>1024</v>
      </c>
      <c r="E91" s="105"/>
      <c r="F91" s="105"/>
      <c r="G91" s="105"/>
      <c r="H91" s="42">
        <f>SUM(H92:H92)</f>
        <v>0</v>
      </c>
      <c r="I91" s="42">
        <f>SUM(I92:I92)</f>
        <v>0</v>
      </c>
      <c r="J91" s="42">
        <f>H91+I91</f>
        <v>0</v>
      </c>
      <c r="K91" s="31"/>
      <c r="L91" s="42">
        <f>SUM(L92:L92)</f>
        <v>0.29072</v>
      </c>
      <c r="M91" s="31"/>
      <c r="P91" s="42">
        <f>IF(Q91="PR",J91,SUM(O92:O92))</f>
        <v>0</v>
      </c>
      <c r="Q91" s="31" t="s">
        <v>1529</v>
      </c>
      <c r="R91" s="42">
        <f>IF(Q91="HS",H91,0)</f>
        <v>0</v>
      </c>
      <c r="S91" s="42">
        <f>IF(Q91="HS",I91-P91,0)</f>
        <v>0</v>
      </c>
      <c r="T91" s="42">
        <f>IF(Q91="PS",H91,0)</f>
        <v>0</v>
      </c>
      <c r="U91" s="42">
        <f>IF(Q91="PS",I91-P91,0)</f>
        <v>0</v>
      </c>
      <c r="V91" s="42">
        <f>IF(Q91="MP",H91,0)</f>
        <v>0</v>
      </c>
      <c r="W91" s="42">
        <f>IF(Q91="MP",I91-P91,0)</f>
        <v>0</v>
      </c>
      <c r="X91" s="42">
        <f>IF(Q91="OM",H91,0)</f>
        <v>0</v>
      </c>
      <c r="Y91" s="31" t="s">
        <v>588</v>
      </c>
      <c r="AI91" s="42">
        <f>SUM(Z92:Z92)</f>
        <v>0</v>
      </c>
      <c r="AJ91" s="42">
        <f>SUM(AA92:AA92)</f>
        <v>0</v>
      </c>
      <c r="AK91" s="42">
        <f>SUM(AB92:AB92)</f>
        <v>0</v>
      </c>
    </row>
    <row r="92" spans="1:43" ht="12.75">
      <c r="A92" s="5" t="s">
        <v>49</v>
      </c>
      <c r="B92" s="5" t="s">
        <v>588</v>
      </c>
      <c r="C92" s="5" t="s">
        <v>645</v>
      </c>
      <c r="D92" s="5" t="s">
        <v>1025</v>
      </c>
      <c r="E92" s="5" t="s">
        <v>1493</v>
      </c>
      <c r="F92" s="22">
        <v>184</v>
      </c>
      <c r="G92" s="22">
        <v>0</v>
      </c>
      <c r="H92" s="22">
        <f>F92*AE92</f>
        <v>0</v>
      </c>
      <c r="I92" s="22">
        <f>J92-H92</f>
        <v>0</v>
      </c>
      <c r="J92" s="22">
        <f>F92*G92</f>
        <v>0</v>
      </c>
      <c r="K92" s="22">
        <v>0.00158</v>
      </c>
      <c r="L92" s="22">
        <f>F92*K92</f>
        <v>0.29072</v>
      </c>
      <c r="M92" s="35" t="s">
        <v>1523</v>
      </c>
      <c r="N92" s="35" t="s">
        <v>7</v>
      </c>
      <c r="O92" s="22">
        <f>IF(N92="5",I92,0)</f>
        <v>0</v>
      </c>
      <c r="Z92" s="22">
        <f>IF(AD92=0,J92,0)</f>
        <v>0</v>
      </c>
      <c r="AA92" s="22">
        <f>IF(AD92=15,J92,0)</f>
        <v>0</v>
      </c>
      <c r="AB92" s="22">
        <f>IF(AD92=21,J92,0)</f>
        <v>0</v>
      </c>
      <c r="AD92" s="39">
        <v>15</v>
      </c>
      <c r="AE92" s="39">
        <f>G92*0.455303820267324</f>
        <v>0</v>
      </c>
      <c r="AF92" s="39">
        <f>G92*(1-0.455303820267324)</f>
        <v>0</v>
      </c>
      <c r="AM92" s="39">
        <f>F92*AE92</f>
        <v>0</v>
      </c>
      <c r="AN92" s="39">
        <f>F92*AF92</f>
        <v>0</v>
      </c>
      <c r="AO92" s="40" t="s">
        <v>1551</v>
      </c>
      <c r="AP92" s="40" t="s">
        <v>1602</v>
      </c>
      <c r="AQ92" s="31" t="s">
        <v>1607</v>
      </c>
    </row>
    <row r="93" ht="12.75">
      <c r="D93" s="18" t="s">
        <v>1026</v>
      </c>
    </row>
    <row r="94" spans="1:37" ht="12.75">
      <c r="A94" s="4"/>
      <c r="B94" s="14" t="s">
        <v>588</v>
      </c>
      <c r="C94" s="14" t="s">
        <v>101</v>
      </c>
      <c r="D94" s="104" t="s">
        <v>1027</v>
      </c>
      <c r="E94" s="105"/>
      <c r="F94" s="105"/>
      <c r="G94" s="105"/>
      <c r="H94" s="42">
        <f>SUM(H95:H95)</f>
        <v>0</v>
      </c>
      <c r="I94" s="42">
        <f>SUM(I95:I95)</f>
        <v>0</v>
      </c>
      <c r="J94" s="42">
        <f>H94+I94</f>
        <v>0</v>
      </c>
      <c r="K94" s="31"/>
      <c r="L94" s="42">
        <f>SUM(L95:L95)</f>
        <v>0.00736</v>
      </c>
      <c r="M94" s="31"/>
      <c r="P94" s="42">
        <f>IF(Q94="PR",J94,SUM(O95:O95))</f>
        <v>0</v>
      </c>
      <c r="Q94" s="31" t="s">
        <v>1529</v>
      </c>
      <c r="R94" s="42">
        <f>IF(Q94="HS",H94,0)</f>
        <v>0</v>
      </c>
      <c r="S94" s="42">
        <f>IF(Q94="HS",I94-P94,0)</f>
        <v>0</v>
      </c>
      <c r="T94" s="42">
        <f>IF(Q94="PS",H94,0)</f>
        <v>0</v>
      </c>
      <c r="U94" s="42">
        <f>IF(Q94="PS",I94-P94,0)</f>
        <v>0</v>
      </c>
      <c r="V94" s="42">
        <f>IF(Q94="MP",H94,0)</f>
        <v>0</v>
      </c>
      <c r="W94" s="42">
        <f>IF(Q94="MP",I94-P94,0)</f>
        <v>0</v>
      </c>
      <c r="X94" s="42">
        <f>IF(Q94="OM",H94,0)</f>
        <v>0</v>
      </c>
      <c r="Y94" s="31" t="s">
        <v>588</v>
      </c>
      <c r="AI94" s="42">
        <f>SUM(Z95:Z95)</f>
        <v>0</v>
      </c>
      <c r="AJ94" s="42">
        <f>SUM(AA95:AA95)</f>
        <v>0</v>
      </c>
      <c r="AK94" s="42">
        <f>SUM(AB95:AB95)</f>
        <v>0</v>
      </c>
    </row>
    <row r="95" spans="1:43" ht="12.75">
      <c r="A95" s="5" t="s">
        <v>50</v>
      </c>
      <c r="B95" s="5" t="s">
        <v>588</v>
      </c>
      <c r="C95" s="5" t="s">
        <v>646</v>
      </c>
      <c r="D95" s="5" t="s">
        <v>1028</v>
      </c>
      <c r="E95" s="5" t="s">
        <v>1493</v>
      </c>
      <c r="F95" s="22">
        <v>184</v>
      </c>
      <c r="G95" s="22">
        <v>0</v>
      </c>
      <c r="H95" s="22">
        <f>F95*AE95</f>
        <v>0</v>
      </c>
      <c r="I95" s="22">
        <f>J95-H95</f>
        <v>0</v>
      </c>
      <c r="J95" s="22">
        <f>F95*G95</f>
        <v>0</v>
      </c>
      <c r="K95" s="22">
        <v>4E-05</v>
      </c>
      <c r="L95" s="22">
        <f>F95*K95</f>
        <v>0.00736</v>
      </c>
      <c r="M95" s="35" t="s">
        <v>1523</v>
      </c>
      <c r="N95" s="35" t="s">
        <v>7</v>
      </c>
      <c r="O95" s="22">
        <f>IF(N95="5",I95,0)</f>
        <v>0</v>
      </c>
      <c r="Z95" s="22">
        <f>IF(AD95=0,J95,0)</f>
        <v>0</v>
      </c>
      <c r="AA95" s="22">
        <f>IF(AD95=15,J95,0)</f>
        <v>0</v>
      </c>
      <c r="AB95" s="22">
        <f>IF(AD95=21,J95,0)</f>
        <v>0</v>
      </c>
      <c r="AD95" s="39">
        <v>15</v>
      </c>
      <c r="AE95" s="39">
        <f>G95*0.0183098591549296</f>
        <v>0</v>
      </c>
      <c r="AF95" s="39">
        <f>G95*(1-0.0183098591549296)</f>
        <v>0</v>
      </c>
      <c r="AM95" s="39">
        <f>F95*AE95</f>
        <v>0</v>
      </c>
      <c r="AN95" s="39">
        <f>F95*AF95</f>
        <v>0</v>
      </c>
      <c r="AO95" s="40" t="s">
        <v>1552</v>
      </c>
      <c r="AP95" s="40" t="s">
        <v>1602</v>
      </c>
      <c r="AQ95" s="31" t="s">
        <v>1607</v>
      </c>
    </row>
    <row r="96" ht="12.75">
      <c r="D96" s="18" t="s">
        <v>1026</v>
      </c>
    </row>
    <row r="97" spans="1:37" ht="12.75">
      <c r="A97" s="4"/>
      <c r="B97" s="14" t="s">
        <v>588</v>
      </c>
      <c r="C97" s="14" t="s">
        <v>647</v>
      </c>
      <c r="D97" s="104" t="s">
        <v>1029</v>
      </c>
      <c r="E97" s="105"/>
      <c r="F97" s="105"/>
      <c r="G97" s="105"/>
      <c r="H97" s="42">
        <f>SUM(H98:H98)</f>
        <v>0</v>
      </c>
      <c r="I97" s="42">
        <f>SUM(I98:I98)</f>
        <v>0</v>
      </c>
      <c r="J97" s="42">
        <f>H97+I97</f>
        <v>0</v>
      </c>
      <c r="K97" s="31"/>
      <c r="L97" s="42">
        <f>SUM(L98:L98)</f>
        <v>0</v>
      </c>
      <c r="M97" s="31"/>
      <c r="P97" s="42">
        <f>IF(Q97="PR",J97,SUM(O98:O98))</f>
        <v>0</v>
      </c>
      <c r="Q97" s="31" t="s">
        <v>1529</v>
      </c>
      <c r="R97" s="42">
        <f>IF(Q97="HS",H97,0)</f>
        <v>0</v>
      </c>
      <c r="S97" s="42">
        <f>IF(Q97="HS",I97-P97,0)</f>
        <v>0</v>
      </c>
      <c r="T97" s="42">
        <f>IF(Q97="PS",H97,0)</f>
        <v>0</v>
      </c>
      <c r="U97" s="42">
        <f>IF(Q97="PS",I97-P97,0)</f>
        <v>0</v>
      </c>
      <c r="V97" s="42">
        <f>IF(Q97="MP",H97,0)</f>
        <v>0</v>
      </c>
      <c r="W97" s="42">
        <f>IF(Q97="MP",I97-P97,0)</f>
        <v>0</v>
      </c>
      <c r="X97" s="42">
        <f>IF(Q97="OM",H97,0)</f>
        <v>0</v>
      </c>
      <c r="Y97" s="31" t="s">
        <v>588</v>
      </c>
      <c r="AI97" s="42">
        <f>SUM(Z98:Z98)</f>
        <v>0</v>
      </c>
      <c r="AJ97" s="42">
        <f>SUM(AA98:AA98)</f>
        <v>0</v>
      </c>
      <c r="AK97" s="42">
        <f>SUM(AB98:AB98)</f>
        <v>0</v>
      </c>
    </row>
    <row r="98" spans="1:43" ht="12.75">
      <c r="A98" s="5" t="s">
        <v>51</v>
      </c>
      <c r="B98" s="5" t="s">
        <v>588</v>
      </c>
      <c r="C98" s="5" t="s">
        <v>648</v>
      </c>
      <c r="D98" s="5" t="s">
        <v>1030</v>
      </c>
      <c r="E98" s="5" t="s">
        <v>1498</v>
      </c>
      <c r="F98" s="22">
        <v>7.96</v>
      </c>
      <c r="G98" s="22">
        <v>0</v>
      </c>
      <c r="H98" s="22">
        <f>F98*AE98</f>
        <v>0</v>
      </c>
      <c r="I98" s="22">
        <f>J98-H98</f>
        <v>0</v>
      </c>
      <c r="J98" s="22">
        <f>F98*G98</f>
        <v>0</v>
      </c>
      <c r="K98" s="22">
        <v>0</v>
      </c>
      <c r="L98" s="22">
        <f>F98*K98</f>
        <v>0</v>
      </c>
      <c r="M98" s="35" t="s">
        <v>1523</v>
      </c>
      <c r="N98" s="35" t="s">
        <v>11</v>
      </c>
      <c r="O98" s="22">
        <f>IF(N98="5",I98,0)</f>
        <v>0</v>
      </c>
      <c r="Z98" s="22">
        <f>IF(AD98=0,J98,0)</f>
        <v>0</v>
      </c>
      <c r="AA98" s="22">
        <f>IF(AD98=15,J98,0)</f>
        <v>0</v>
      </c>
      <c r="AB98" s="22">
        <f>IF(AD98=21,J98,0)</f>
        <v>0</v>
      </c>
      <c r="AD98" s="39">
        <v>15</v>
      </c>
      <c r="AE98" s="39">
        <f>G98*0</f>
        <v>0</v>
      </c>
      <c r="AF98" s="39">
        <f>G98*(1-0)</f>
        <v>0</v>
      </c>
      <c r="AM98" s="39">
        <f>F98*AE98</f>
        <v>0</v>
      </c>
      <c r="AN98" s="39">
        <f>F98*AF98</f>
        <v>0</v>
      </c>
      <c r="AO98" s="40" t="s">
        <v>1553</v>
      </c>
      <c r="AP98" s="40" t="s">
        <v>1602</v>
      </c>
      <c r="AQ98" s="31" t="s">
        <v>1607</v>
      </c>
    </row>
    <row r="99" spans="1:37" ht="12.75">
      <c r="A99" s="4"/>
      <c r="B99" s="14" t="s">
        <v>588</v>
      </c>
      <c r="C99" s="14" t="s">
        <v>649</v>
      </c>
      <c r="D99" s="104" t="s">
        <v>982</v>
      </c>
      <c r="E99" s="105"/>
      <c r="F99" s="105"/>
      <c r="G99" s="105"/>
      <c r="H99" s="42">
        <f>SUM(H100:H100)</f>
        <v>0</v>
      </c>
      <c r="I99" s="42">
        <f>SUM(I100:I100)</f>
        <v>0</v>
      </c>
      <c r="J99" s="42">
        <f>H99+I99</f>
        <v>0</v>
      </c>
      <c r="K99" s="31"/>
      <c r="L99" s="42">
        <f>SUM(L100:L100)</f>
        <v>0</v>
      </c>
      <c r="M99" s="31"/>
      <c r="P99" s="42">
        <f>IF(Q99="PR",J99,SUM(O100:O100))</f>
        <v>0</v>
      </c>
      <c r="Q99" s="31" t="s">
        <v>1529</v>
      </c>
      <c r="R99" s="42">
        <f>IF(Q99="HS",H99,0)</f>
        <v>0</v>
      </c>
      <c r="S99" s="42">
        <f>IF(Q99="HS",I99-P99,0)</f>
        <v>0</v>
      </c>
      <c r="T99" s="42">
        <f>IF(Q99="PS",H99,0)</f>
        <v>0</v>
      </c>
      <c r="U99" s="42">
        <f>IF(Q99="PS",I99-P99,0)</f>
        <v>0</v>
      </c>
      <c r="V99" s="42">
        <f>IF(Q99="MP",H99,0)</f>
        <v>0</v>
      </c>
      <c r="W99" s="42">
        <f>IF(Q99="MP",I99-P99,0)</f>
        <v>0</v>
      </c>
      <c r="X99" s="42">
        <f>IF(Q99="OM",H99,0)</f>
        <v>0</v>
      </c>
      <c r="Y99" s="31" t="s">
        <v>588</v>
      </c>
      <c r="AI99" s="42">
        <f>SUM(Z100:Z100)</f>
        <v>0</v>
      </c>
      <c r="AJ99" s="42">
        <f>SUM(AA100:AA100)</f>
        <v>0</v>
      </c>
      <c r="AK99" s="42">
        <f>SUM(AB100:AB100)</f>
        <v>0</v>
      </c>
    </row>
    <row r="100" spans="1:43" ht="12.75">
      <c r="A100" s="5" t="s">
        <v>52</v>
      </c>
      <c r="B100" s="5" t="s">
        <v>588</v>
      </c>
      <c r="C100" s="5" t="s">
        <v>650</v>
      </c>
      <c r="D100" s="5" t="s">
        <v>1031</v>
      </c>
      <c r="E100" s="5" t="s">
        <v>1499</v>
      </c>
      <c r="F100" s="22">
        <v>1</v>
      </c>
      <c r="G100" s="22">
        <v>0</v>
      </c>
      <c r="H100" s="22">
        <f>F100*AE100</f>
        <v>0</v>
      </c>
      <c r="I100" s="22">
        <f>J100-H100</f>
        <v>0</v>
      </c>
      <c r="J100" s="22">
        <f>F100*G100</f>
        <v>0</v>
      </c>
      <c r="K100" s="22">
        <v>0</v>
      </c>
      <c r="L100" s="22">
        <f>F100*K100</f>
        <v>0</v>
      </c>
      <c r="M100" s="35" t="s">
        <v>1523</v>
      </c>
      <c r="N100" s="35" t="s">
        <v>11</v>
      </c>
      <c r="O100" s="22">
        <f>IF(N100="5",I100,0)</f>
        <v>0</v>
      </c>
      <c r="Z100" s="22">
        <f>IF(AD100=0,J100,0)</f>
        <v>0</v>
      </c>
      <c r="AA100" s="22">
        <f>IF(AD100=15,J100,0)</f>
        <v>0</v>
      </c>
      <c r="AB100" s="22">
        <f>IF(AD100=21,J100,0)</f>
        <v>0</v>
      </c>
      <c r="AD100" s="39">
        <v>15</v>
      </c>
      <c r="AE100" s="39">
        <f>G100*0</f>
        <v>0</v>
      </c>
      <c r="AF100" s="39">
        <f>G100*(1-0)</f>
        <v>0</v>
      </c>
      <c r="AM100" s="39">
        <f>F100*AE100</f>
        <v>0</v>
      </c>
      <c r="AN100" s="39">
        <f>F100*AF100</f>
        <v>0</v>
      </c>
      <c r="AO100" s="40" t="s">
        <v>1554</v>
      </c>
      <c r="AP100" s="40" t="s">
        <v>1602</v>
      </c>
      <c r="AQ100" s="31" t="s">
        <v>1607</v>
      </c>
    </row>
    <row r="101" spans="1:37" ht="12.75">
      <c r="A101" s="4"/>
      <c r="B101" s="14" t="s">
        <v>588</v>
      </c>
      <c r="C101" s="14" t="s">
        <v>651</v>
      </c>
      <c r="D101" s="104" t="s">
        <v>995</v>
      </c>
      <c r="E101" s="105"/>
      <c r="F101" s="105"/>
      <c r="G101" s="105"/>
      <c r="H101" s="42">
        <f>SUM(H102:H102)</f>
        <v>0</v>
      </c>
      <c r="I101" s="42">
        <f>SUM(I102:I102)</f>
        <v>0</v>
      </c>
      <c r="J101" s="42">
        <f>H101+I101</f>
        <v>0</v>
      </c>
      <c r="K101" s="31"/>
      <c r="L101" s="42">
        <f>SUM(L102:L102)</f>
        <v>0</v>
      </c>
      <c r="M101" s="31"/>
      <c r="P101" s="42">
        <f>IF(Q101="PR",J101,SUM(O102:O102))</f>
        <v>0</v>
      </c>
      <c r="Q101" s="31" t="s">
        <v>1529</v>
      </c>
      <c r="R101" s="42">
        <f>IF(Q101="HS",H101,0)</f>
        <v>0</v>
      </c>
      <c r="S101" s="42">
        <f>IF(Q101="HS",I101-P101,0)</f>
        <v>0</v>
      </c>
      <c r="T101" s="42">
        <f>IF(Q101="PS",H101,0)</f>
        <v>0</v>
      </c>
      <c r="U101" s="42">
        <f>IF(Q101="PS",I101-P101,0)</f>
        <v>0</v>
      </c>
      <c r="V101" s="42">
        <f>IF(Q101="MP",H101,0)</f>
        <v>0</v>
      </c>
      <c r="W101" s="42">
        <f>IF(Q101="MP",I101-P101,0)</f>
        <v>0</v>
      </c>
      <c r="X101" s="42">
        <f>IF(Q101="OM",H101,0)</f>
        <v>0</v>
      </c>
      <c r="Y101" s="31" t="s">
        <v>588</v>
      </c>
      <c r="AI101" s="42">
        <f>SUM(Z102:Z102)</f>
        <v>0</v>
      </c>
      <c r="AJ101" s="42">
        <f>SUM(AA102:AA102)</f>
        <v>0</v>
      </c>
      <c r="AK101" s="42">
        <f>SUM(AB102:AB102)</f>
        <v>0</v>
      </c>
    </row>
    <row r="102" spans="1:43" ht="12.75">
      <c r="A102" s="5" t="s">
        <v>53</v>
      </c>
      <c r="B102" s="5" t="s">
        <v>588</v>
      </c>
      <c r="C102" s="5" t="s">
        <v>652</v>
      </c>
      <c r="D102" s="5" t="s">
        <v>1032</v>
      </c>
      <c r="E102" s="5" t="s">
        <v>1499</v>
      </c>
      <c r="F102" s="22">
        <v>1</v>
      </c>
      <c r="G102" s="22">
        <v>0</v>
      </c>
      <c r="H102" s="22">
        <f>F102*AE102</f>
        <v>0</v>
      </c>
      <c r="I102" s="22">
        <f>J102-H102</f>
        <v>0</v>
      </c>
      <c r="J102" s="22">
        <f>F102*G102</f>
        <v>0</v>
      </c>
      <c r="K102" s="22">
        <v>0</v>
      </c>
      <c r="L102" s="22">
        <f>F102*K102</f>
        <v>0</v>
      </c>
      <c r="M102" s="35" t="s">
        <v>1523</v>
      </c>
      <c r="N102" s="35" t="s">
        <v>11</v>
      </c>
      <c r="O102" s="22">
        <f>IF(N102="5",I102,0)</f>
        <v>0</v>
      </c>
      <c r="Z102" s="22">
        <f>IF(AD102=0,J102,0)</f>
        <v>0</v>
      </c>
      <c r="AA102" s="22">
        <f>IF(AD102=15,J102,0)</f>
        <v>0</v>
      </c>
      <c r="AB102" s="22">
        <f>IF(AD102=21,J102,0)</f>
        <v>0</v>
      </c>
      <c r="AD102" s="39">
        <v>15</v>
      </c>
      <c r="AE102" s="39">
        <f>G102*0</f>
        <v>0</v>
      </c>
      <c r="AF102" s="39">
        <f>G102*(1-0)</f>
        <v>0</v>
      </c>
      <c r="AM102" s="39">
        <f>F102*AE102</f>
        <v>0</v>
      </c>
      <c r="AN102" s="39">
        <f>F102*AF102</f>
        <v>0</v>
      </c>
      <c r="AO102" s="40" t="s">
        <v>1555</v>
      </c>
      <c r="AP102" s="40" t="s">
        <v>1602</v>
      </c>
      <c r="AQ102" s="31" t="s">
        <v>1607</v>
      </c>
    </row>
    <row r="103" spans="1:37" ht="12.75">
      <c r="A103" s="4"/>
      <c r="B103" s="14" t="s">
        <v>588</v>
      </c>
      <c r="C103" s="14" t="s">
        <v>653</v>
      </c>
      <c r="D103" s="104" t="s">
        <v>1003</v>
      </c>
      <c r="E103" s="105"/>
      <c r="F103" s="105"/>
      <c r="G103" s="105"/>
      <c r="H103" s="42">
        <f>SUM(H104:H104)</f>
        <v>0</v>
      </c>
      <c r="I103" s="42">
        <f>SUM(I104:I104)</f>
        <v>0</v>
      </c>
      <c r="J103" s="42">
        <f>H103+I103</f>
        <v>0</v>
      </c>
      <c r="K103" s="31"/>
      <c r="L103" s="42">
        <f>SUM(L104:L104)</f>
        <v>0</v>
      </c>
      <c r="M103" s="31"/>
      <c r="P103" s="42">
        <f>IF(Q103="PR",J103,SUM(O104:O104))</f>
        <v>0</v>
      </c>
      <c r="Q103" s="31" t="s">
        <v>1529</v>
      </c>
      <c r="R103" s="42">
        <f>IF(Q103="HS",H103,0)</f>
        <v>0</v>
      </c>
      <c r="S103" s="42">
        <f>IF(Q103="HS",I103-P103,0)</f>
        <v>0</v>
      </c>
      <c r="T103" s="42">
        <f>IF(Q103="PS",H103,0)</f>
        <v>0</v>
      </c>
      <c r="U103" s="42">
        <f>IF(Q103="PS",I103-P103,0)</f>
        <v>0</v>
      </c>
      <c r="V103" s="42">
        <f>IF(Q103="MP",H103,0)</f>
        <v>0</v>
      </c>
      <c r="W103" s="42">
        <f>IF(Q103="MP",I103-P103,0)</f>
        <v>0</v>
      </c>
      <c r="X103" s="42">
        <f>IF(Q103="OM",H103,0)</f>
        <v>0</v>
      </c>
      <c r="Y103" s="31" t="s">
        <v>588</v>
      </c>
      <c r="AI103" s="42">
        <f>SUM(Z104:Z104)</f>
        <v>0</v>
      </c>
      <c r="AJ103" s="42">
        <f>SUM(AA104:AA104)</f>
        <v>0</v>
      </c>
      <c r="AK103" s="42">
        <f>SUM(AB104:AB104)</f>
        <v>0</v>
      </c>
    </row>
    <row r="104" spans="1:43" ht="12.75">
      <c r="A104" s="5" t="s">
        <v>54</v>
      </c>
      <c r="B104" s="5" t="s">
        <v>588</v>
      </c>
      <c r="C104" s="5" t="s">
        <v>654</v>
      </c>
      <c r="D104" s="5" t="s">
        <v>1033</v>
      </c>
      <c r="E104" s="5" t="s">
        <v>1499</v>
      </c>
      <c r="F104" s="22">
        <v>1</v>
      </c>
      <c r="G104" s="22">
        <v>0</v>
      </c>
      <c r="H104" s="22">
        <f>F104*AE104</f>
        <v>0</v>
      </c>
      <c r="I104" s="22">
        <f>J104-H104</f>
        <v>0</v>
      </c>
      <c r="J104" s="22">
        <f>F104*G104</f>
        <v>0</v>
      </c>
      <c r="K104" s="22">
        <v>0</v>
      </c>
      <c r="L104" s="22">
        <f>F104*K104</f>
        <v>0</v>
      </c>
      <c r="M104" s="35" t="s">
        <v>1523</v>
      </c>
      <c r="N104" s="35" t="s">
        <v>11</v>
      </c>
      <c r="O104" s="22">
        <f>IF(N104="5",I104,0)</f>
        <v>0</v>
      </c>
      <c r="Z104" s="22">
        <f>IF(AD104=0,J104,0)</f>
        <v>0</v>
      </c>
      <c r="AA104" s="22">
        <f>IF(AD104=15,J104,0)</f>
        <v>0</v>
      </c>
      <c r="AB104" s="22">
        <f>IF(AD104=21,J104,0)</f>
        <v>0</v>
      </c>
      <c r="AD104" s="39">
        <v>15</v>
      </c>
      <c r="AE104" s="39">
        <f>G104*0</f>
        <v>0</v>
      </c>
      <c r="AF104" s="39">
        <f>G104*(1-0)</f>
        <v>0</v>
      </c>
      <c r="AM104" s="39">
        <f>F104*AE104</f>
        <v>0</v>
      </c>
      <c r="AN104" s="39">
        <f>F104*AF104</f>
        <v>0</v>
      </c>
      <c r="AO104" s="40" t="s">
        <v>1556</v>
      </c>
      <c r="AP104" s="40" t="s">
        <v>1602</v>
      </c>
      <c r="AQ104" s="31" t="s">
        <v>1607</v>
      </c>
    </row>
    <row r="105" spans="1:37" ht="12.75">
      <c r="A105" s="4"/>
      <c r="B105" s="14" t="s">
        <v>588</v>
      </c>
      <c r="C105" s="14" t="s">
        <v>655</v>
      </c>
      <c r="D105" s="104" t="s">
        <v>1007</v>
      </c>
      <c r="E105" s="105"/>
      <c r="F105" s="105"/>
      <c r="G105" s="105"/>
      <c r="H105" s="42">
        <f>SUM(H106:H106)</f>
        <v>0</v>
      </c>
      <c r="I105" s="42">
        <f>SUM(I106:I106)</f>
        <v>0</v>
      </c>
      <c r="J105" s="42">
        <f>H105+I105</f>
        <v>0</v>
      </c>
      <c r="K105" s="31"/>
      <c r="L105" s="42">
        <f>SUM(L106:L106)</f>
        <v>0</v>
      </c>
      <c r="M105" s="31"/>
      <c r="P105" s="42">
        <f>IF(Q105="PR",J105,SUM(O106:O106))</f>
        <v>0</v>
      </c>
      <c r="Q105" s="31" t="s">
        <v>1529</v>
      </c>
      <c r="R105" s="42">
        <f>IF(Q105="HS",H105,0)</f>
        <v>0</v>
      </c>
      <c r="S105" s="42">
        <f>IF(Q105="HS",I105-P105,0)</f>
        <v>0</v>
      </c>
      <c r="T105" s="42">
        <f>IF(Q105="PS",H105,0)</f>
        <v>0</v>
      </c>
      <c r="U105" s="42">
        <f>IF(Q105="PS",I105-P105,0)</f>
        <v>0</v>
      </c>
      <c r="V105" s="42">
        <f>IF(Q105="MP",H105,0)</f>
        <v>0</v>
      </c>
      <c r="W105" s="42">
        <f>IF(Q105="MP",I105-P105,0)</f>
        <v>0</v>
      </c>
      <c r="X105" s="42">
        <f>IF(Q105="OM",H105,0)</f>
        <v>0</v>
      </c>
      <c r="Y105" s="31" t="s">
        <v>588</v>
      </c>
      <c r="AI105" s="42">
        <f>SUM(Z106:Z106)</f>
        <v>0</v>
      </c>
      <c r="AJ105" s="42">
        <f>SUM(AA106:AA106)</f>
        <v>0</v>
      </c>
      <c r="AK105" s="42">
        <f>SUM(AB106:AB106)</f>
        <v>0</v>
      </c>
    </row>
    <row r="106" spans="1:43" ht="12.75">
      <c r="A106" s="5" t="s">
        <v>55</v>
      </c>
      <c r="B106" s="5" t="s">
        <v>588</v>
      </c>
      <c r="C106" s="5" t="s">
        <v>656</v>
      </c>
      <c r="D106" s="5" t="s">
        <v>1034</v>
      </c>
      <c r="E106" s="5" t="s">
        <v>1499</v>
      </c>
      <c r="F106" s="22">
        <v>1</v>
      </c>
      <c r="G106" s="22">
        <v>0</v>
      </c>
      <c r="H106" s="22">
        <f>F106*AE106</f>
        <v>0</v>
      </c>
      <c r="I106" s="22">
        <f>J106-H106</f>
        <v>0</v>
      </c>
      <c r="J106" s="22">
        <f>F106*G106</f>
        <v>0</v>
      </c>
      <c r="K106" s="22">
        <v>0</v>
      </c>
      <c r="L106" s="22">
        <f>F106*K106</f>
        <v>0</v>
      </c>
      <c r="M106" s="35" t="s">
        <v>1523</v>
      </c>
      <c r="N106" s="35" t="s">
        <v>11</v>
      </c>
      <c r="O106" s="22">
        <f>IF(N106="5",I106,0)</f>
        <v>0</v>
      </c>
      <c r="Z106" s="22">
        <f>IF(AD106=0,J106,0)</f>
        <v>0</v>
      </c>
      <c r="AA106" s="22">
        <f>IF(AD106=15,J106,0)</f>
        <v>0</v>
      </c>
      <c r="AB106" s="22">
        <f>IF(AD106=21,J106,0)</f>
        <v>0</v>
      </c>
      <c r="AD106" s="39">
        <v>15</v>
      </c>
      <c r="AE106" s="39">
        <f>G106*0</f>
        <v>0</v>
      </c>
      <c r="AF106" s="39">
        <f>G106*(1-0)</f>
        <v>0</v>
      </c>
      <c r="AM106" s="39">
        <f>F106*AE106</f>
        <v>0</v>
      </c>
      <c r="AN106" s="39">
        <f>F106*AF106</f>
        <v>0</v>
      </c>
      <c r="AO106" s="40" t="s">
        <v>1557</v>
      </c>
      <c r="AP106" s="40" t="s">
        <v>1602</v>
      </c>
      <c r="AQ106" s="31" t="s">
        <v>1607</v>
      </c>
    </row>
    <row r="107" spans="1:37" ht="12.75">
      <c r="A107" s="4"/>
      <c r="B107" s="14" t="s">
        <v>588</v>
      </c>
      <c r="C107" s="14" t="s">
        <v>657</v>
      </c>
      <c r="D107" s="104" t="s">
        <v>1010</v>
      </c>
      <c r="E107" s="105"/>
      <c r="F107" s="105"/>
      <c r="G107" s="105"/>
      <c r="H107" s="42">
        <f>SUM(H108:H108)</f>
        <v>0</v>
      </c>
      <c r="I107" s="42">
        <f>SUM(I108:I108)</f>
        <v>0</v>
      </c>
      <c r="J107" s="42">
        <f>H107+I107</f>
        <v>0</v>
      </c>
      <c r="K107" s="31"/>
      <c r="L107" s="42">
        <f>SUM(L108:L108)</f>
        <v>0</v>
      </c>
      <c r="M107" s="31"/>
      <c r="P107" s="42">
        <f>IF(Q107="PR",J107,SUM(O108:O108))</f>
        <v>0</v>
      </c>
      <c r="Q107" s="31" t="s">
        <v>1529</v>
      </c>
      <c r="R107" s="42">
        <f>IF(Q107="HS",H107,0)</f>
        <v>0</v>
      </c>
      <c r="S107" s="42">
        <f>IF(Q107="HS",I107-P107,0)</f>
        <v>0</v>
      </c>
      <c r="T107" s="42">
        <f>IF(Q107="PS",H107,0)</f>
        <v>0</v>
      </c>
      <c r="U107" s="42">
        <f>IF(Q107="PS",I107-P107,0)</f>
        <v>0</v>
      </c>
      <c r="V107" s="42">
        <f>IF(Q107="MP",H107,0)</f>
        <v>0</v>
      </c>
      <c r="W107" s="42">
        <f>IF(Q107="MP",I107-P107,0)</f>
        <v>0</v>
      </c>
      <c r="X107" s="42">
        <f>IF(Q107="OM",H107,0)</f>
        <v>0</v>
      </c>
      <c r="Y107" s="31" t="s">
        <v>588</v>
      </c>
      <c r="AI107" s="42">
        <f>SUM(Z108:Z108)</f>
        <v>0</v>
      </c>
      <c r="AJ107" s="42">
        <f>SUM(AA108:AA108)</f>
        <v>0</v>
      </c>
      <c r="AK107" s="42">
        <f>SUM(AB108:AB108)</f>
        <v>0</v>
      </c>
    </row>
    <row r="108" spans="1:43" ht="12.75">
      <c r="A108" s="5" t="s">
        <v>56</v>
      </c>
      <c r="B108" s="5" t="s">
        <v>588</v>
      </c>
      <c r="C108" s="5" t="s">
        <v>658</v>
      </c>
      <c r="D108" s="5" t="s">
        <v>1035</v>
      </c>
      <c r="E108" s="5" t="s">
        <v>1499</v>
      </c>
      <c r="F108" s="22">
        <v>1</v>
      </c>
      <c r="G108" s="22">
        <v>0</v>
      </c>
      <c r="H108" s="22">
        <f>F108*AE108</f>
        <v>0</v>
      </c>
      <c r="I108" s="22">
        <f>J108-H108</f>
        <v>0</v>
      </c>
      <c r="J108" s="22">
        <f>F108*G108</f>
        <v>0</v>
      </c>
      <c r="K108" s="22">
        <v>0</v>
      </c>
      <c r="L108" s="22">
        <f>F108*K108</f>
        <v>0</v>
      </c>
      <c r="M108" s="35" t="s">
        <v>1523</v>
      </c>
      <c r="N108" s="35" t="s">
        <v>11</v>
      </c>
      <c r="O108" s="22">
        <f>IF(N108="5",I108,0)</f>
        <v>0</v>
      </c>
      <c r="Z108" s="22">
        <f>IF(AD108=0,J108,0)</f>
        <v>0</v>
      </c>
      <c r="AA108" s="22">
        <f>IF(AD108=15,J108,0)</f>
        <v>0</v>
      </c>
      <c r="AB108" s="22">
        <f>IF(AD108=21,J108,0)</f>
        <v>0</v>
      </c>
      <c r="AD108" s="39">
        <v>15</v>
      </c>
      <c r="AE108" s="39">
        <f>G108*0</f>
        <v>0</v>
      </c>
      <c r="AF108" s="39">
        <f>G108*(1-0)</f>
        <v>0</v>
      </c>
      <c r="AM108" s="39">
        <f>F108*AE108</f>
        <v>0</v>
      </c>
      <c r="AN108" s="39">
        <f>F108*AF108</f>
        <v>0</v>
      </c>
      <c r="AO108" s="40" t="s">
        <v>1558</v>
      </c>
      <c r="AP108" s="40" t="s">
        <v>1602</v>
      </c>
      <c r="AQ108" s="31" t="s">
        <v>1607</v>
      </c>
    </row>
    <row r="109" spans="1:37" ht="12.75">
      <c r="A109" s="4"/>
      <c r="B109" s="14" t="s">
        <v>588</v>
      </c>
      <c r="C109" s="14" t="s">
        <v>659</v>
      </c>
      <c r="D109" s="104" t="s">
        <v>1036</v>
      </c>
      <c r="E109" s="105"/>
      <c r="F109" s="105"/>
      <c r="G109" s="105"/>
      <c r="H109" s="42">
        <f>SUM(H110:H136)</f>
        <v>0</v>
      </c>
      <c r="I109" s="42">
        <f>SUM(I110:I136)</f>
        <v>0</v>
      </c>
      <c r="J109" s="42">
        <f>H109+I109</f>
        <v>0</v>
      </c>
      <c r="K109" s="31"/>
      <c r="L109" s="42">
        <f>SUM(L110:L136)</f>
        <v>0.15858000000000003</v>
      </c>
      <c r="M109" s="31"/>
      <c r="P109" s="42">
        <f>IF(Q109="PR",J109,SUM(O110:O136))</f>
        <v>0</v>
      </c>
      <c r="Q109" s="31" t="s">
        <v>1531</v>
      </c>
      <c r="R109" s="42">
        <f>IF(Q109="HS",H109,0)</f>
        <v>0</v>
      </c>
      <c r="S109" s="42">
        <f>IF(Q109="HS",I109-P109,0)</f>
        <v>0</v>
      </c>
      <c r="T109" s="42">
        <f>IF(Q109="PS",H109,0)</f>
        <v>0</v>
      </c>
      <c r="U109" s="42">
        <f>IF(Q109="PS",I109-P109,0)</f>
        <v>0</v>
      </c>
      <c r="V109" s="42">
        <f>IF(Q109="MP",H109,0)</f>
        <v>0</v>
      </c>
      <c r="W109" s="42">
        <f>IF(Q109="MP",I109-P109,0)</f>
        <v>0</v>
      </c>
      <c r="X109" s="42">
        <f>IF(Q109="OM",H109,0)</f>
        <v>0</v>
      </c>
      <c r="Y109" s="31" t="s">
        <v>588</v>
      </c>
      <c r="AI109" s="42">
        <f>SUM(Z110:Z136)</f>
        <v>0</v>
      </c>
      <c r="AJ109" s="42">
        <f>SUM(AA110:AA136)</f>
        <v>0</v>
      </c>
      <c r="AK109" s="42">
        <f>SUM(AB110:AB136)</f>
        <v>0</v>
      </c>
    </row>
    <row r="110" spans="1:43" ht="12.75">
      <c r="A110" s="5" t="s">
        <v>57</v>
      </c>
      <c r="B110" s="5" t="s">
        <v>588</v>
      </c>
      <c r="C110" s="5" t="s">
        <v>660</v>
      </c>
      <c r="D110" s="5" t="s">
        <v>1037</v>
      </c>
      <c r="E110" s="5" t="s">
        <v>1495</v>
      </c>
      <c r="F110" s="22">
        <v>20</v>
      </c>
      <c r="G110" s="22">
        <v>0</v>
      </c>
      <c r="H110" s="22">
        <f>F110*AE110</f>
        <v>0</v>
      </c>
      <c r="I110" s="22">
        <f>J110-H110</f>
        <v>0</v>
      </c>
      <c r="J110" s="22">
        <f>F110*G110</f>
        <v>0</v>
      </c>
      <c r="K110" s="22">
        <v>0</v>
      </c>
      <c r="L110" s="22">
        <f>F110*K110</f>
        <v>0</v>
      </c>
      <c r="M110" s="35" t="s">
        <v>1523</v>
      </c>
      <c r="N110" s="35" t="s">
        <v>8</v>
      </c>
      <c r="O110" s="22">
        <f>IF(N110="5",I110,0)</f>
        <v>0</v>
      </c>
      <c r="Z110" s="22">
        <f>IF(AD110=0,J110,0)</f>
        <v>0</v>
      </c>
      <c r="AA110" s="22">
        <f>IF(AD110=15,J110,0)</f>
        <v>0</v>
      </c>
      <c r="AB110" s="22">
        <f>IF(AD110=21,J110,0)</f>
        <v>0</v>
      </c>
      <c r="AD110" s="39">
        <v>15</v>
      </c>
      <c r="AE110" s="39">
        <f>G110*1</f>
        <v>0</v>
      </c>
      <c r="AF110" s="39">
        <f>G110*(1-1)</f>
        <v>0</v>
      </c>
      <c r="AM110" s="39">
        <f>F110*AE110</f>
        <v>0</v>
      </c>
      <c r="AN110" s="39">
        <f>F110*AF110</f>
        <v>0</v>
      </c>
      <c r="AO110" s="40" t="s">
        <v>1559</v>
      </c>
      <c r="AP110" s="40" t="s">
        <v>1602</v>
      </c>
      <c r="AQ110" s="31" t="s">
        <v>1607</v>
      </c>
    </row>
    <row r="111" spans="1:43" ht="12.75">
      <c r="A111" s="5" t="s">
        <v>58</v>
      </c>
      <c r="B111" s="5" t="s">
        <v>588</v>
      </c>
      <c r="C111" s="5" t="s">
        <v>661</v>
      </c>
      <c r="D111" s="5" t="s">
        <v>1038</v>
      </c>
      <c r="E111" s="5" t="s">
        <v>1494</v>
      </c>
      <c r="F111" s="22">
        <v>14</v>
      </c>
      <c r="G111" s="22">
        <v>0</v>
      </c>
      <c r="H111" s="22">
        <f>F111*AE111</f>
        <v>0</v>
      </c>
      <c r="I111" s="22">
        <f>J111-H111</f>
        <v>0</v>
      </c>
      <c r="J111" s="22">
        <f>F111*G111</f>
        <v>0</v>
      </c>
      <c r="K111" s="22">
        <v>0</v>
      </c>
      <c r="L111" s="22">
        <f>F111*K111</f>
        <v>0</v>
      </c>
      <c r="M111" s="35" t="s">
        <v>1523</v>
      </c>
      <c r="N111" s="35" t="s">
        <v>8</v>
      </c>
      <c r="O111" s="22">
        <f>IF(N111="5",I111,0)</f>
        <v>0</v>
      </c>
      <c r="Z111" s="22">
        <f>IF(AD111=0,J111,0)</f>
        <v>0</v>
      </c>
      <c r="AA111" s="22">
        <f>IF(AD111=15,J111,0)</f>
        <v>0</v>
      </c>
      <c r="AB111" s="22">
        <f>IF(AD111=21,J111,0)</f>
        <v>0</v>
      </c>
      <c r="AD111" s="39">
        <v>15</v>
      </c>
      <c r="AE111" s="39">
        <f>G111*1</f>
        <v>0</v>
      </c>
      <c r="AF111" s="39">
        <f>G111*(1-1)</f>
        <v>0</v>
      </c>
      <c r="AM111" s="39">
        <f>F111*AE111</f>
        <v>0</v>
      </c>
      <c r="AN111" s="39">
        <f>F111*AF111</f>
        <v>0</v>
      </c>
      <c r="AO111" s="40" t="s">
        <v>1559</v>
      </c>
      <c r="AP111" s="40" t="s">
        <v>1602</v>
      </c>
      <c r="AQ111" s="31" t="s">
        <v>1607</v>
      </c>
    </row>
    <row r="112" spans="1:43" ht="12.75">
      <c r="A112" s="5" t="s">
        <v>59</v>
      </c>
      <c r="B112" s="5" t="s">
        <v>588</v>
      </c>
      <c r="C112" s="5" t="s">
        <v>662</v>
      </c>
      <c r="D112" s="5" t="s">
        <v>1039</v>
      </c>
      <c r="E112" s="5" t="s">
        <v>1494</v>
      </c>
      <c r="F112" s="22">
        <v>1</v>
      </c>
      <c r="G112" s="22">
        <v>0</v>
      </c>
      <c r="H112" s="22">
        <f>F112*AE112</f>
        <v>0</v>
      </c>
      <c r="I112" s="22">
        <f>J112-H112</f>
        <v>0</v>
      </c>
      <c r="J112" s="22">
        <f>F112*G112</f>
        <v>0</v>
      </c>
      <c r="K112" s="22">
        <v>0</v>
      </c>
      <c r="L112" s="22">
        <f>F112*K112</f>
        <v>0</v>
      </c>
      <c r="M112" s="35" t="s">
        <v>1523</v>
      </c>
      <c r="N112" s="35" t="s">
        <v>8</v>
      </c>
      <c r="O112" s="22">
        <f>IF(N112="5",I112,0)</f>
        <v>0</v>
      </c>
      <c r="Z112" s="22">
        <f>IF(AD112=0,J112,0)</f>
        <v>0</v>
      </c>
      <c r="AA112" s="22">
        <f>IF(AD112=15,J112,0)</f>
        <v>0</v>
      </c>
      <c r="AB112" s="22">
        <f>IF(AD112=21,J112,0)</f>
        <v>0</v>
      </c>
      <c r="AD112" s="39">
        <v>15</v>
      </c>
      <c r="AE112" s="39">
        <f>G112*0</f>
        <v>0</v>
      </c>
      <c r="AF112" s="39">
        <f>G112*(1-0)</f>
        <v>0</v>
      </c>
      <c r="AM112" s="39">
        <f>F112*AE112</f>
        <v>0</v>
      </c>
      <c r="AN112" s="39">
        <f>F112*AF112</f>
        <v>0</v>
      </c>
      <c r="AO112" s="40" t="s">
        <v>1559</v>
      </c>
      <c r="AP112" s="40" t="s">
        <v>1602</v>
      </c>
      <c r="AQ112" s="31" t="s">
        <v>1607</v>
      </c>
    </row>
    <row r="113" ht="12.75">
      <c r="D113" s="18" t="s">
        <v>1040</v>
      </c>
    </row>
    <row r="114" spans="1:43" ht="12.75">
      <c r="A114" s="5" t="s">
        <v>60</v>
      </c>
      <c r="B114" s="5" t="s">
        <v>588</v>
      </c>
      <c r="C114" s="5" t="s">
        <v>663</v>
      </c>
      <c r="D114" s="5" t="s">
        <v>1041</v>
      </c>
      <c r="E114" s="5" t="s">
        <v>1494</v>
      </c>
      <c r="F114" s="22">
        <v>1</v>
      </c>
      <c r="G114" s="22">
        <v>0</v>
      </c>
      <c r="H114" s="22">
        <f>F114*AE114</f>
        <v>0</v>
      </c>
      <c r="I114" s="22">
        <f>J114-H114</f>
        <v>0</v>
      </c>
      <c r="J114" s="22">
        <f>F114*G114</f>
        <v>0</v>
      </c>
      <c r="K114" s="22">
        <v>0</v>
      </c>
      <c r="L114" s="22">
        <f>F114*K114</f>
        <v>0</v>
      </c>
      <c r="M114" s="35" t="s">
        <v>1523</v>
      </c>
      <c r="N114" s="35" t="s">
        <v>8</v>
      </c>
      <c r="O114" s="22">
        <f>IF(N114="5",I114,0)</f>
        <v>0</v>
      </c>
      <c r="Z114" s="22">
        <f>IF(AD114=0,J114,0)</f>
        <v>0</v>
      </c>
      <c r="AA114" s="22">
        <f>IF(AD114=15,J114,0)</f>
        <v>0</v>
      </c>
      <c r="AB114" s="22">
        <f>IF(AD114=21,J114,0)</f>
        <v>0</v>
      </c>
      <c r="AD114" s="39">
        <v>15</v>
      </c>
      <c r="AE114" s="39">
        <f>G114*0</f>
        <v>0</v>
      </c>
      <c r="AF114" s="39">
        <f>G114*(1-0)</f>
        <v>0</v>
      </c>
      <c r="AM114" s="39">
        <f>F114*AE114</f>
        <v>0</v>
      </c>
      <c r="AN114" s="39">
        <f>F114*AF114</f>
        <v>0</v>
      </c>
      <c r="AO114" s="40" t="s">
        <v>1559</v>
      </c>
      <c r="AP114" s="40" t="s">
        <v>1602</v>
      </c>
      <c r="AQ114" s="31" t="s">
        <v>1607</v>
      </c>
    </row>
    <row r="115" ht="12.75">
      <c r="D115" s="18" t="s">
        <v>1042</v>
      </c>
    </row>
    <row r="116" spans="1:43" ht="12.75">
      <c r="A116" s="5" t="s">
        <v>61</v>
      </c>
      <c r="B116" s="5" t="s">
        <v>588</v>
      </c>
      <c r="C116" s="5" t="s">
        <v>664</v>
      </c>
      <c r="D116" s="5" t="s">
        <v>1043</v>
      </c>
      <c r="E116" s="5" t="s">
        <v>1494</v>
      </c>
      <c r="F116" s="22">
        <v>1</v>
      </c>
      <c r="G116" s="22">
        <v>0</v>
      </c>
      <c r="H116" s="22">
        <f>F116*AE116</f>
        <v>0</v>
      </c>
      <c r="I116" s="22">
        <f>J116-H116</f>
        <v>0</v>
      </c>
      <c r="J116" s="22">
        <f>F116*G116</f>
        <v>0</v>
      </c>
      <c r="K116" s="22">
        <v>0</v>
      </c>
      <c r="L116" s="22">
        <f>F116*K116</f>
        <v>0</v>
      </c>
      <c r="M116" s="35" t="s">
        <v>1523</v>
      </c>
      <c r="N116" s="35" t="s">
        <v>8</v>
      </c>
      <c r="O116" s="22">
        <f>IF(N116="5",I116,0)</f>
        <v>0</v>
      </c>
      <c r="Z116" s="22">
        <f>IF(AD116=0,J116,0)</f>
        <v>0</v>
      </c>
      <c r="AA116" s="22">
        <f>IF(AD116=15,J116,0)</f>
        <v>0</v>
      </c>
      <c r="AB116" s="22">
        <f>IF(AD116=21,J116,0)</f>
        <v>0</v>
      </c>
      <c r="AD116" s="39">
        <v>15</v>
      </c>
      <c r="AE116" s="39">
        <f>G116*0</f>
        <v>0</v>
      </c>
      <c r="AF116" s="39">
        <f>G116*(1-0)</f>
        <v>0</v>
      </c>
      <c r="AM116" s="39">
        <f>F116*AE116</f>
        <v>0</v>
      </c>
      <c r="AN116" s="39">
        <f>F116*AF116</f>
        <v>0</v>
      </c>
      <c r="AO116" s="40" t="s">
        <v>1559</v>
      </c>
      <c r="AP116" s="40" t="s">
        <v>1602</v>
      </c>
      <c r="AQ116" s="31" t="s">
        <v>1607</v>
      </c>
    </row>
    <row r="117" ht="12.75">
      <c r="D117" s="18" t="s">
        <v>1044</v>
      </c>
    </row>
    <row r="118" spans="1:43" ht="12.75">
      <c r="A118" s="5" t="s">
        <v>62</v>
      </c>
      <c r="B118" s="5" t="s">
        <v>588</v>
      </c>
      <c r="C118" s="5" t="s">
        <v>644</v>
      </c>
      <c r="D118" s="5" t="s">
        <v>1045</v>
      </c>
      <c r="E118" s="5" t="s">
        <v>1497</v>
      </c>
      <c r="F118" s="22">
        <v>50</v>
      </c>
      <c r="G118" s="22">
        <v>0</v>
      </c>
      <c r="H118" s="22">
        <f>F118*AE118</f>
        <v>0</v>
      </c>
      <c r="I118" s="22">
        <f>J118-H118</f>
        <v>0</v>
      </c>
      <c r="J118" s="22">
        <f>F118*G118</f>
        <v>0</v>
      </c>
      <c r="K118" s="22">
        <v>0</v>
      </c>
      <c r="L118" s="22">
        <f>F118*K118</f>
        <v>0</v>
      </c>
      <c r="M118" s="35" t="s">
        <v>1523</v>
      </c>
      <c r="N118" s="35" t="s">
        <v>7</v>
      </c>
      <c r="O118" s="22">
        <f>IF(N118="5",I118,0)</f>
        <v>0</v>
      </c>
      <c r="Z118" s="22">
        <f>IF(AD118=0,J118,0)</f>
        <v>0</v>
      </c>
      <c r="AA118" s="22">
        <f>IF(AD118=15,J118,0)</f>
        <v>0</v>
      </c>
      <c r="AB118" s="22">
        <f>IF(AD118=21,J118,0)</f>
        <v>0</v>
      </c>
      <c r="AD118" s="39">
        <v>15</v>
      </c>
      <c r="AE118" s="39">
        <f>G118*0</f>
        <v>0</v>
      </c>
      <c r="AF118" s="39">
        <f>G118*(1-0)</f>
        <v>0</v>
      </c>
      <c r="AM118" s="39">
        <f>F118*AE118</f>
        <v>0</v>
      </c>
      <c r="AN118" s="39">
        <f>F118*AF118</f>
        <v>0</v>
      </c>
      <c r="AO118" s="40" t="s">
        <v>1559</v>
      </c>
      <c r="AP118" s="40" t="s">
        <v>1602</v>
      </c>
      <c r="AQ118" s="31" t="s">
        <v>1607</v>
      </c>
    </row>
    <row r="119" ht="12.75">
      <c r="D119" s="18" t="s">
        <v>1046</v>
      </c>
    </row>
    <row r="120" spans="1:43" ht="12.75">
      <c r="A120" s="5" t="s">
        <v>63</v>
      </c>
      <c r="B120" s="5" t="s">
        <v>588</v>
      </c>
      <c r="C120" s="5" t="s">
        <v>665</v>
      </c>
      <c r="D120" s="5" t="s">
        <v>1047</v>
      </c>
      <c r="E120" s="5" t="s">
        <v>1494</v>
      </c>
      <c r="F120" s="22">
        <v>18</v>
      </c>
      <c r="G120" s="22">
        <v>0</v>
      </c>
      <c r="H120" s="22">
        <f aca="true" t="shared" si="30" ref="H120:H136">F120*AE120</f>
        <v>0</v>
      </c>
      <c r="I120" s="22">
        <f aca="true" t="shared" si="31" ref="I120:I136">J120-H120</f>
        <v>0</v>
      </c>
      <c r="J120" s="22">
        <f aca="true" t="shared" si="32" ref="J120:J136">F120*G120</f>
        <v>0</v>
      </c>
      <c r="K120" s="22">
        <v>0</v>
      </c>
      <c r="L120" s="22">
        <f aca="true" t="shared" si="33" ref="L120:L136">F120*K120</f>
        <v>0</v>
      </c>
      <c r="M120" s="35" t="s">
        <v>1523</v>
      </c>
      <c r="N120" s="35" t="s">
        <v>8</v>
      </c>
      <c r="O120" s="22">
        <f aca="true" t="shared" si="34" ref="O120:O136">IF(N120="5",I120,0)</f>
        <v>0</v>
      </c>
      <c r="Z120" s="22">
        <f aca="true" t="shared" si="35" ref="Z120:Z136">IF(AD120=0,J120,0)</f>
        <v>0</v>
      </c>
      <c r="AA120" s="22">
        <f aca="true" t="shared" si="36" ref="AA120:AA136">IF(AD120=15,J120,0)</f>
        <v>0</v>
      </c>
      <c r="AB120" s="22">
        <f aca="true" t="shared" si="37" ref="AB120:AB136">IF(AD120=21,J120,0)</f>
        <v>0</v>
      </c>
      <c r="AD120" s="39">
        <v>15</v>
      </c>
      <c r="AE120" s="39">
        <f aca="true" t="shared" si="38" ref="AE120:AE136">G120*1</f>
        <v>0</v>
      </c>
      <c r="AF120" s="39">
        <f aca="true" t="shared" si="39" ref="AF120:AF136">G120*(1-1)</f>
        <v>0</v>
      </c>
      <c r="AM120" s="39">
        <f aca="true" t="shared" si="40" ref="AM120:AM136">F120*AE120</f>
        <v>0</v>
      </c>
      <c r="AN120" s="39">
        <f aca="true" t="shared" si="41" ref="AN120:AN136">F120*AF120</f>
        <v>0</v>
      </c>
      <c r="AO120" s="40" t="s">
        <v>1559</v>
      </c>
      <c r="AP120" s="40" t="s">
        <v>1602</v>
      </c>
      <c r="AQ120" s="31" t="s">
        <v>1607</v>
      </c>
    </row>
    <row r="121" spans="1:43" ht="12.75">
      <c r="A121" s="6" t="s">
        <v>64</v>
      </c>
      <c r="B121" s="6" t="s">
        <v>588</v>
      </c>
      <c r="C121" s="6" t="s">
        <v>666</v>
      </c>
      <c r="D121" s="6" t="s">
        <v>1048</v>
      </c>
      <c r="E121" s="6" t="s">
        <v>1494</v>
      </c>
      <c r="F121" s="24">
        <v>28</v>
      </c>
      <c r="G121" s="24">
        <v>0</v>
      </c>
      <c r="H121" s="24">
        <f t="shared" si="30"/>
        <v>0</v>
      </c>
      <c r="I121" s="24">
        <f t="shared" si="31"/>
        <v>0</v>
      </c>
      <c r="J121" s="24">
        <f t="shared" si="32"/>
        <v>0</v>
      </c>
      <c r="K121" s="24">
        <v>5E-05</v>
      </c>
      <c r="L121" s="24">
        <f t="shared" si="33"/>
        <v>0.0014</v>
      </c>
      <c r="M121" s="36" t="s">
        <v>1523</v>
      </c>
      <c r="N121" s="36" t="s">
        <v>1526</v>
      </c>
      <c r="O121" s="24">
        <f t="shared" si="34"/>
        <v>0</v>
      </c>
      <c r="Z121" s="24">
        <f t="shared" si="35"/>
        <v>0</v>
      </c>
      <c r="AA121" s="24">
        <f t="shared" si="36"/>
        <v>0</v>
      </c>
      <c r="AB121" s="24">
        <f t="shared" si="37"/>
        <v>0</v>
      </c>
      <c r="AD121" s="39">
        <v>15</v>
      </c>
      <c r="AE121" s="39">
        <f t="shared" si="38"/>
        <v>0</v>
      </c>
      <c r="AF121" s="39">
        <f t="shared" si="39"/>
        <v>0</v>
      </c>
      <c r="AM121" s="39">
        <f t="shared" si="40"/>
        <v>0</v>
      </c>
      <c r="AN121" s="39">
        <f t="shared" si="41"/>
        <v>0</v>
      </c>
      <c r="AO121" s="40" t="s">
        <v>1559</v>
      </c>
      <c r="AP121" s="40" t="s">
        <v>1602</v>
      </c>
      <c r="AQ121" s="31" t="s">
        <v>1607</v>
      </c>
    </row>
    <row r="122" spans="1:43" ht="12.75">
      <c r="A122" s="6" t="s">
        <v>65</v>
      </c>
      <c r="B122" s="6" t="s">
        <v>588</v>
      </c>
      <c r="C122" s="6" t="s">
        <v>667</v>
      </c>
      <c r="D122" s="6" t="s">
        <v>1049</v>
      </c>
      <c r="E122" s="6" t="s">
        <v>1494</v>
      </c>
      <c r="F122" s="24">
        <v>20</v>
      </c>
      <c r="G122" s="24">
        <v>0</v>
      </c>
      <c r="H122" s="24">
        <f t="shared" si="30"/>
        <v>0</v>
      </c>
      <c r="I122" s="24">
        <f t="shared" si="31"/>
        <v>0</v>
      </c>
      <c r="J122" s="24">
        <f t="shared" si="32"/>
        <v>0</v>
      </c>
      <c r="K122" s="24">
        <v>1E-05</v>
      </c>
      <c r="L122" s="24">
        <f t="shared" si="33"/>
        <v>0.0002</v>
      </c>
      <c r="M122" s="36" t="s">
        <v>1523</v>
      </c>
      <c r="N122" s="36" t="s">
        <v>1526</v>
      </c>
      <c r="O122" s="24">
        <f t="shared" si="34"/>
        <v>0</v>
      </c>
      <c r="Z122" s="24">
        <f t="shared" si="35"/>
        <v>0</v>
      </c>
      <c r="AA122" s="24">
        <f t="shared" si="36"/>
        <v>0</v>
      </c>
      <c r="AB122" s="24">
        <f t="shared" si="37"/>
        <v>0</v>
      </c>
      <c r="AD122" s="39">
        <v>15</v>
      </c>
      <c r="AE122" s="39">
        <f t="shared" si="38"/>
        <v>0</v>
      </c>
      <c r="AF122" s="39">
        <f t="shared" si="39"/>
        <v>0</v>
      </c>
      <c r="AM122" s="39">
        <f t="shared" si="40"/>
        <v>0</v>
      </c>
      <c r="AN122" s="39">
        <f t="shared" si="41"/>
        <v>0</v>
      </c>
      <c r="AO122" s="40" t="s">
        <v>1559</v>
      </c>
      <c r="AP122" s="40" t="s">
        <v>1602</v>
      </c>
      <c r="AQ122" s="31" t="s">
        <v>1607</v>
      </c>
    </row>
    <row r="123" spans="1:43" ht="12.75">
      <c r="A123" s="6" t="s">
        <v>66</v>
      </c>
      <c r="B123" s="6" t="s">
        <v>588</v>
      </c>
      <c r="C123" s="6" t="s">
        <v>668</v>
      </c>
      <c r="D123" s="6" t="s">
        <v>1050</v>
      </c>
      <c r="E123" s="6" t="s">
        <v>1494</v>
      </c>
      <c r="F123" s="24">
        <v>48</v>
      </c>
      <c r="G123" s="24">
        <v>0</v>
      </c>
      <c r="H123" s="24">
        <f t="shared" si="30"/>
        <v>0</v>
      </c>
      <c r="I123" s="24">
        <f t="shared" si="31"/>
        <v>0</v>
      </c>
      <c r="J123" s="24">
        <f t="shared" si="32"/>
        <v>0</v>
      </c>
      <c r="K123" s="24">
        <v>0</v>
      </c>
      <c r="L123" s="24">
        <f t="shared" si="33"/>
        <v>0</v>
      </c>
      <c r="M123" s="36" t="s">
        <v>1523</v>
      </c>
      <c r="N123" s="36" t="s">
        <v>1526</v>
      </c>
      <c r="O123" s="24">
        <f t="shared" si="34"/>
        <v>0</v>
      </c>
      <c r="Z123" s="24">
        <f t="shared" si="35"/>
        <v>0</v>
      </c>
      <c r="AA123" s="24">
        <f t="shared" si="36"/>
        <v>0</v>
      </c>
      <c r="AB123" s="24">
        <f t="shared" si="37"/>
        <v>0</v>
      </c>
      <c r="AD123" s="39">
        <v>15</v>
      </c>
      <c r="AE123" s="39">
        <f t="shared" si="38"/>
        <v>0</v>
      </c>
      <c r="AF123" s="39">
        <f t="shared" si="39"/>
        <v>0</v>
      </c>
      <c r="AM123" s="39">
        <f t="shared" si="40"/>
        <v>0</v>
      </c>
      <c r="AN123" s="39">
        <f t="shared" si="41"/>
        <v>0</v>
      </c>
      <c r="AO123" s="40" t="s">
        <v>1559</v>
      </c>
      <c r="AP123" s="40" t="s">
        <v>1602</v>
      </c>
      <c r="AQ123" s="31" t="s">
        <v>1607</v>
      </c>
    </row>
    <row r="124" spans="1:43" ht="12.75">
      <c r="A124" s="6" t="s">
        <v>67</v>
      </c>
      <c r="B124" s="6" t="s">
        <v>588</v>
      </c>
      <c r="C124" s="6" t="s">
        <v>669</v>
      </c>
      <c r="D124" s="6" t="s">
        <v>1051</v>
      </c>
      <c r="E124" s="6" t="s">
        <v>1494</v>
      </c>
      <c r="F124" s="24">
        <v>16</v>
      </c>
      <c r="G124" s="24">
        <v>0</v>
      </c>
      <c r="H124" s="24">
        <f t="shared" si="30"/>
        <v>0</v>
      </c>
      <c r="I124" s="24">
        <f t="shared" si="31"/>
        <v>0</v>
      </c>
      <c r="J124" s="24">
        <f t="shared" si="32"/>
        <v>0</v>
      </c>
      <c r="K124" s="24">
        <v>1E-05</v>
      </c>
      <c r="L124" s="24">
        <f t="shared" si="33"/>
        <v>0.00016</v>
      </c>
      <c r="M124" s="36" t="s">
        <v>1523</v>
      </c>
      <c r="N124" s="36" t="s">
        <v>1526</v>
      </c>
      <c r="O124" s="24">
        <f t="shared" si="34"/>
        <v>0</v>
      </c>
      <c r="Z124" s="24">
        <f t="shared" si="35"/>
        <v>0</v>
      </c>
      <c r="AA124" s="24">
        <f t="shared" si="36"/>
        <v>0</v>
      </c>
      <c r="AB124" s="24">
        <f t="shared" si="37"/>
        <v>0</v>
      </c>
      <c r="AD124" s="39">
        <v>15</v>
      </c>
      <c r="AE124" s="39">
        <f t="shared" si="38"/>
        <v>0</v>
      </c>
      <c r="AF124" s="39">
        <f t="shared" si="39"/>
        <v>0</v>
      </c>
      <c r="AM124" s="39">
        <f t="shared" si="40"/>
        <v>0</v>
      </c>
      <c r="AN124" s="39">
        <f t="shared" si="41"/>
        <v>0</v>
      </c>
      <c r="AO124" s="40" t="s">
        <v>1559</v>
      </c>
      <c r="AP124" s="40" t="s">
        <v>1602</v>
      </c>
      <c r="AQ124" s="31" t="s">
        <v>1607</v>
      </c>
    </row>
    <row r="125" spans="1:43" ht="12.75">
      <c r="A125" s="6" t="s">
        <v>68</v>
      </c>
      <c r="B125" s="6" t="s">
        <v>588</v>
      </c>
      <c r="C125" s="6" t="s">
        <v>670</v>
      </c>
      <c r="D125" s="6" t="s">
        <v>1052</v>
      </c>
      <c r="E125" s="6" t="s">
        <v>1494</v>
      </c>
      <c r="F125" s="24">
        <v>4</v>
      </c>
      <c r="G125" s="24">
        <v>0</v>
      </c>
      <c r="H125" s="24">
        <f t="shared" si="30"/>
        <v>0</v>
      </c>
      <c r="I125" s="24">
        <f t="shared" si="31"/>
        <v>0</v>
      </c>
      <c r="J125" s="24">
        <f t="shared" si="32"/>
        <v>0</v>
      </c>
      <c r="K125" s="24">
        <v>5E-05</v>
      </c>
      <c r="L125" s="24">
        <f t="shared" si="33"/>
        <v>0.0002</v>
      </c>
      <c r="M125" s="36" t="s">
        <v>1523</v>
      </c>
      <c r="N125" s="36" t="s">
        <v>1526</v>
      </c>
      <c r="O125" s="24">
        <f t="shared" si="34"/>
        <v>0</v>
      </c>
      <c r="Z125" s="24">
        <f t="shared" si="35"/>
        <v>0</v>
      </c>
      <c r="AA125" s="24">
        <f t="shared" si="36"/>
        <v>0</v>
      </c>
      <c r="AB125" s="24">
        <f t="shared" si="37"/>
        <v>0</v>
      </c>
      <c r="AD125" s="39">
        <v>15</v>
      </c>
      <c r="AE125" s="39">
        <f t="shared" si="38"/>
        <v>0</v>
      </c>
      <c r="AF125" s="39">
        <f t="shared" si="39"/>
        <v>0</v>
      </c>
      <c r="AM125" s="39">
        <f t="shared" si="40"/>
        <v>0</v>
      </c>
      <c r="AN125" s="39">
        <f t="shared" si="41"/>
        <v>0</v>
      </c>
      <c r="AO125" s="40" t="s">
        <v>1559</v>
      </c>
      <c r="AP125" s="40" t="s">
        <v>1602</v>
      </c>
      <c r="AQ125" s="31" t="s">
        <v>1607</v>
      </c>
    </row>
    <row r="126" spans="1:43" ht="12.75">
      <c r="A126" s="6" t="s">
        <v>69</v>
      </c>
      <c r="B126" s="6" t="s">
        <v>588</v>
      </c>
      <c r="C126" s="6" t="s">
        <v>671</v>
      </c>
      <c r="D126" s="6" t="s">
        <v>1053</v>
      </c>
      <c r="E126" s="6" t="s">
        <v>1494</v>
      </c>
      <c r="F126" s="24">
        <v>48</v>
      </c>
      <c r="G126" s="24">
        <v>0</v>
      </c>
      <c r="H126" s="24">
        <f t="shared" si="30"/>
        <v>0</v>
      </c>
      <c r="I126" s="24">
        <f t="shared" si="31"/>
        <v>0</v>
      </c>
      <c r="J126" s="24">
        <f t="shared" si="32"/>
        <v>0</v>
      </c>
      <c r="K126" s="24">
        <v>2E-05</v>
      </c>
      <c r="L126" s="24">
        <f t="shared" si="33"/>
        <v>0.0009600000000000001</v>
      </c>
      <c r="M126" s="36" t="s">
        <v>1523</v>
      </c>
      <c r="N126" s="36" t="s">
        <v>1526</v>
      </c>
      <c r="O126" s="24">
        <f t="shared" si="34"/>
        <v>0</v>
      </c>
      <c r="Z126" s="24">
        <f t="shared" si="35"/>
        <v>0</v>
      </c>
      <c r="AA126" s="24">
        <f t="shared" si="36"/>
        <v>0</v>
      </c>
      <c r="AB126" s="24">
        <f t="shared" si="37"/>
        <v>0</v>
      </c>
      <c r="AD126" s="39">
        <v>15</v>
      </c>
      <c r="AE126" s="39">
        <f t="shared" si="38"/>
        <v>0</v>
      </c>
      <c r="AF126" s="39">
        <f t="shared" si="39"/>
        <v>0</v>
      </c>
      <c r="AM126" s="39">
        <f t="shared" si="40"/>
        <v>0</v>
      </c>
      <c r="AN126" s="39">
        <f t="shared" si="41"/>
        <v>0</v>
      </c>
      <c r="AO126" s="40" t="s">
        <v>1559</v>
      </c>
      <c r="AP126" s="40" t="s">
        <v>1602</v>
      </c>
      <c r="AQ126" s="31" t="s">
        <v>1607</v>
      </c>
    </row>
    <row r="127" spans="1:43" ht="12.75">
      <c r="A127" s="6" t="s">
        <v>70</v>
      </c>
      <c r="B127" s="6" t="s">
        <v>588</v>
      </c>
      <c r="C127" s="6" t="s">
        <v>672</v>
      </c>
      <c r="D127" s="6" t="s">
        <v>1054</v>
      </c>
      <c r="E127" s="6" t="s">
        <v>1495</v>
      </c>
      <c r="F127" s="24">
        <v>150</v>
      </c>
      <c r="G127" s="24">
        <v>0</v>
      </c>
      <c r="H127" s="24">
        <f t="shared" si="30"/>
        <v>0</v>
      </c>
      <c r="I127" s="24">
        <f t="shared" si="31"/>
        <v>0</v>
      </c>
      <c r="J127" s="24">
        <f t="shared" si="32"/>
        <v>0</v>
      </c>
      <c r="K127" s="24">
        <v>0.00016</v>
      </c>
      <c r="L127" s="24">
        <f t="shared" si="33"/>
        <v>0.024</v>
      </c>
      <c r="M127" s="36" t="s">
        <v>1523</v>
      </c>
      <c r="N127" s="36" t="s">
        <v>1526</v>
      </c>
      <c r="O127" s="24">
        <f t="shared" si="34"/>
        <v>0</v>
      </c>
      <c r="Z127" s="24">
        <f t="shared" si="35"/>
        <v>0</v>
      </c>
      <c r="AA127" s="24">
        <f t="shared" si="36"/>
        <v>0</v>
      </c>
      <c r="AB127" s="24">
        <f t="shared" si="37"/>
        <v>0</v>
      </c>
      <c r="AD127" s="39">
        <v>15</v>
      </c>
      <c r="AE127" s="39">
        <f t="shared" si="38"/>
        <v>0</v>
      </c>
      <c r="AF127" s="39">
        <f t="shared" si="39"/>
        <v>0</v>
      </c>
      <c r="AM127" s="39">
        <f t="shared" si="40"/>
        <v>0</v>
      </c>
      <c r="AN127" s="39">
        <f t="shared" si="41"/>
        <v>0</v>
      </c>
      <c r="AO127" s="40" t="s">
        <v>1559</v>
      </c>
      <c r="AP127" s="40" t="s">
        <v>1602</v>
      </c>
      <c r="AQ127" s="31" t="s">
        <v>1607</v>
      </c>
    </row>
    <row r="128" spans="1:43" ht="12.75">
      <c r="A128" s="6" t="s">
        <v>71</v>
      </c>
      <c r="B128" s="6" t="s">
        <v>588</v>
      </c>
      <c r="C128" s="6" t="s">
        <v>673</v>
      </c>
      <c r="D128" s="6" t="s">
        <v>1055</v>
      </c>
      <c r="E128" s="6" t="s">
        <v>1495</v>
      </c>
      <c r="F128" s="24">
        <v>150</v>
      </c>
      <c r="G128" s="24">
        <v>0</v>
      </c>
      <c r="H128" s="24">
        <f t="shared" si="30"/>
        <v>0</v>
      </c>
      <c r="I128" s="24">
        <f t="shared" si="31"/>
        <v>0</v>
      </c>
      <c r="J128" s="24">
        <f t="shared" si="32"/>
        <v>0</v>
      </c>
      <c r="K128" s="24">
        <v>0.00015</v>
      </c>
      <c r="L128" s="24">
        <f t="shared" si="33"/>
        <v>0.0225</v>
      </c>
      <c r="M128" s="36" t="s">
        <v>1523</v>
      </c>
      <c r="N128" s="36" t="s">
        <v>1526</v>
      </c>
      <c r="O128" s="24">
        <f t="shared" si="34"/>
        <v>0</v>
      </c>
      <c r="Z128" s="24">
        <f t="shared" si="35"/>
        <v>0</v>
      </c>
      <c r="AA128" s="24">
        <f t="shared" si="36"/>
        <v>0</v>
      </c>
      <c r="AB128" s="24">
        <f t="shared" si="37"/>
        <v>0</v>
      </c>
      <c r="AD128" s="39">
        <v>15</v>
      </c>
      <c r="AE128" s="39">
        <f t="shared" si="38"/>
        <v>0</v>
      </c>
      <c r="AF128" s="39">
        <f t="shared" si="39"/>
        <v>0</v>
      </c>
      <c r="AM128" s="39">
        <f t="shared" si="40"/>
        <v>0</v>
      </c>
      <c r="AN128" s="39">
        <f t="shared" si="41"/>
        <v>0</v>
      </c>
      <c r="AO128" s="40" t="s">
        <v>1559</v>
      </c>
      <c r="AP128" s="40" t="s">
        <v>1602</v>
      </c>
      <c r="AQ128" s="31" t="s">
        <v>1607</v>
      </c>
    </row>
    <row r="129" spans="1:43" ht="12.75">
      <c r="A129" s="6" t="s">
        <v>72</v>
      </c>
      <c r="B129" s="6" t="s">
        <v>588</v>
      </c>
      <c r="C129" s="6" t="s">
        <v>674</v>
      </c>
      <c r="D129" s="6" t="s">
        <v>1056</v>
      </c>
      <c r="E129" s="6" t="s">
        <v>1495</v>
      </c>
      <c r="F129" s="24">
        <v>210</v>
      </c>
      <c r="G129" s="24">
        <v>0</v>
      </c>
      <c r="H129" s="24">
        <f t="shared" si="30"/>
        <v>0</v>
      </c>
      <c r="I129" s="24">
        <f t="shared" si="31"/>
        <v>0</v>
      </c>
      <c r="J129" s="24">
        <f t="shared" si="32"/>
        <v>0</v>
      </c>
      <c r="K129" s="24">
        <v>0.00022</v>
      </c>
      <c r="L129" s="24">
        <f t="shared" si="33"/>
        <v>0.046200000000000005</v>
      </c>
      <c r="M129" s="36" t="s">
        <v>1523</v>
      </c>
      <c r="N129" s="36" t="s">
        <v>1526</v>
      </c>
      <c r="O129" s="24">
        <f t="shared" si="34"/>
        <v>0</v>
      </c>
      <c r="Z129" s="24">
        <f t="shared" si="35"/>
        <v>0</v>
      </c>
      <c r="AA129" s="24">
        <f t="shared" si="36"/>
        <v>0</v>
      </c>
      <c r="AB129" s="24">
        <f t="shared" si="37"/>
        <v>0</v>
      </c>
      <c r="AD129" s="39">
        <v>15</v>
      </c>
      <c r="AE129" s="39">
        <f t="shared" si="38"/>
        <v>0</v>
      </c>
      <c r="AF129" s="39">
        <f t="shared" si="39"/>
        <v>0</v>
      </c>
      <c r="AM129" s="39">
        <f t="shared" si="40"/>
        <v>0</v>
      </c>
      <c r="AN129" s="39">
        <f t="shared" si="41"/>
        <v>0</v>
      </c>
      <c r="AO129" s="40" t="s">
        <v>1559</v>
      </c>
      <c r="AP129" s="40" t="s">
        <v>1602</v>
      </c>
      <c r="AQ129" s="31" t="s">
        <v>1607</v>
      </c>
    </row>
    <row r="130" spans="1:43" ht="12.75">
      <c r="A130" s="6" t="s">
        <v>73</v>
      </c>
      <c r="B130" s="6" t="s">
        <v>588</v>
      </c>
      <c r="C130" s="6" t="s">
        <v>675</v>
      </c>
      <c r="D130" s="6" t="s">
        <v>1057</v>
      </c>
      <c r="E130" s="6" t="s">
        <v>1495</v>
      </c>
      <c r="F130" s="24">
        <v>45</v>
      </c>
      <c r="G130" s="24">
        <v>0</v>
      </c>
      <c r="H130" s="24">
        <f t="shared" si="30"/>
        <v>0</v>
      </c>
      <c r="I130" s="24">
        <f t="shared" si="31"/>
        <v>0</v>
      </c>
      <c r="J130" s="24">
        <f t="shared" si="32"/>
        <v>0</v>
      </c>
      <c r="K130" s="24">
        <v>0.0003</v>
      </c>
      <c r="L130" s="24">
        <f t="shared" si="33"/>
        <v>0.013499999999999998</v>
      </c>
      <c r="M130" s="36" t="s">
        <v>1523</v>
      </c>
      <c r="N130" s="36" t="s">
        <v>1526</v>
      </c>
      <c r="O130" s="24">
        <f t="shared" si="34"/>
        <v>0</v>
      </c>
      <c r="Z130" s="24">
        <f t="shared" si="35"/>
        <v>0</v>
      </c>
      <c r="AA130" s="24">
        <f t="shared" si="36"/>
        <v>0</v>
      </c>
      <c r="AB130" s="24">
        <f t="shared" si="37"/>
        <v>0</v>
      </c>
      <c r="AD130" s="39">
        <v>15</v>
      </c>
      <c r="AE130" s="39">
        <f t="shared" si="38"/>
        <v>0</v>
      </c>
      <c r="AF130" s="39">
        <f t="shared" si="39"/>
        <v>0</v>
      </c>
      <c r="AM130" s="39">
        <f t="shared" si="40"/>
        <v>0</v>
      </c>
      <c r="AN130" s="39">
        <f t="shared" si="41"/>
        <v>0</v>
      </c>
      <c r="AO130" s="40" t="s">
        <v>1559</v>
      </c>
      <c r="AP130" s="40" t="s">
        <v>1602</v>
      </c>
      <c r="AQ130" s="31" t="s">
        <v>1607</v>
      </c>
    </row>
    <row r="131" spans="1:43" ht="12.75">
      <c r="A131" s="6" t="s">
        <v>74</v>
      </c>
      <c r="B131" s="6" t="s">
        <v>588</v>
      </c>
      <c r="C131" s="6" t="s">
        <v>676</v>
      </c>
      <c r="D131" s="6" t="s">
        <v>1058</v>
      </c>
      <c r="E131" s="6" t="s">
        <v>1495</v>
      </c>
      <c r="F131" s="24">
        <v>30</v>
      </c>
      <c r="G131" s="24">
        <v>0</v>
      </c>
      <c r="H131" s="24">
        <f t="shared" si="30"/>
        <v>0</v>
      </c>
      <c r="I131" s="24">
        <f t="shared" si="31"/>
        <v>0</v>
      </c>
      <c r="J131" s="24">
        <f t="shared" si="32"/>
        <v>0</v>
      </c>
      <c r="K131" s="24">
        <v>0.00041</v>
      </c>
      <c r="L131" s="24">
        <f t="shared" si="33"/>
        <v>0.0123</v>
      </c>
      <c r="M131" s="36" t="s">
        <v>1523</v>
      </c>
      <c r="N131" s="36" t="s">
        <v>1526</v>
      </c>
      <c r="O131" s="24">
        <f t="shared" si="34"/>
        <v>0</v>
      </c>
      <c r="Z131" s="24">
        <f t="shared" si="35"/>
        <v>0</v>
      </c>
      <c r="AA131" s="24">
        <f t="shared" si="36"/>
        <v>0</v>
      </c>
      <c r="AB131" s="24">
        <f t="shared" si="37"/>
        <v>0</v>
      </c>
      <c r="AD131" s="39">
        <v>15</v>
      </c>
      <c r="AE131" s="39">
        <f t="shared" si="38"/>
        <v>0</v>
      </c>
      <c r="AF131" s="39">
        <f t="shared" si="39"/>
        <v>0</v>
      </c>
      <c r="AM131" s="39">
        <f t="shared" si="40"/>
        <v>0</v>
      </c>
      <c r="AN131" s="39">
        <f t="shared" si="41"/>
        <v>0</v>
      </c>
      <c r="AO131" s="40" t="s">
        <v>1559</v>
      </c>
      <c r="AP131" s="40" t="s">
        <v>1602</v>
      </c>
      <c r="AQ131" s="31" t="s">
        <v>1607</v>
      </c>
    </row>
    <row r="132" spans="1:43" ht="12.75">
      <c r="A132" s="6" t="s">
        <v>75</v>
      </c>
      <c r="B132" s="6" t="s">
        <v>588</v>
      </c>
      <c r="C132" s="6" t="s">
        <v>677</v>
      </c>
      <c r="D132" s="6" t="s">
        <v>1059</v>
      </c>
      <c r="E132" s="6" t="s">
        <v>1495</v>
      </c>
      <c r="F132" s="24">
        <v>20</v>
      </c>
      <c r="G132" s="24">
        <v>0</v>
      </c>
      <c r="H132" s="24">
        <f t="shared" si="30"/>
        <v>0</v>
      </c>
      <c r="I132" s="24">
        <f t="shared" si="31"/>
        <v>0</v>
      </c>
      <c r="J132" s="24">
        <f t="shared" si="32"/>
        <v>0</v>
      </c>
      <c r="K132" s="24">
        <v>0.00018</v>
      </c>
      <c r="L132" s="24">
        <f t="shared" si="33"/>
        <v>0.0036000000000000003</v>
      </c>
      <c r="M132" s="36" t="s">
        <v>1523</v>
      </c>
      <c r="N132" s="36" t="s">
        <v>1526</v>
      </c>
      <c r="O132" s="24">
        <f t="shared" si="34"/>
        <v>0</v>
      </c>
      <c r="Z132" s="24">
        <f t="shared" si="35"/>
        <v>0</v>
      </c>
      <c r="AA132" s="24">
        <f t="shared" si="36"/>
        <v>0</v>
      </c>
      <c r="AB132" s="24">
        <f t="shared" si="37"/>
        <v>0</v>
      </c>
      <c r="AD132" s="39">
        <v>15</v>
      </c>
      <c r="AE132" s="39">
        <f t="shared" si="38"/>
        <v>0</v>
      </c>
      <c r="AF132" s="39">
        <f t="shared" si="39"/>
        <v>0</v>
      </c>
      <c r="AM132" s="39">
        <f t="shared" si="40"/>
        <v>0</v>
      </c>
      <c r="AN132" s="39">
        <f t="shared" si="41"/>
        <v>0</v>
      </c>
      <c r="AO132" s="40" t="s">
        <v>1559</v>
      </c>
      <c r="AP132" s="40" t="s">
        <v>1602</v>
      </c>
      <c r="AQ132" s="31" t="s">
        <v>1607</v>
      </c>
    </row>
    <row r="133" spans="1:43" ht="12.75">
      <c r="A133" s="6" t="s">
        <v>76</v>
      </c>
      <c r="B133" s="6" t="s">
        <v>588</v>
      </c>
      <c r="C133" s="6" t="s">
        <v>678</v>
      </c>
      <c r="D133" s="6" t="s">
        <v>1060</v>
      </c>
      <c r="E133" s="6" t="s">
        <v>1494</v>
      </c>
      <c r="F133" s="24">
        <v>14</v>
      </c>
      <c r="G133" s="24">
        <v>0</v>
      </c>
      <c r="H133" s="24">
        <f t="shared" si="30"/>
        <v>0</v>
      </c>
      <c r="I133" s="24">
        <f t="shared" si="31"/>
        <v>0</v>
      </c>
      <c r="J133" s="24">
        <f t="shared" si="32"/>
        <v>0</v>
      </c>
      <c r="K133" s="24">
        <v>3E-05</v>
      </c>
      <c r="L133" s="24">
        <f t="shared" si="33"/>
        <v>0.00042</v>
      </c>
      <c r="M133" s="36" t="s">
        <v>1523</v>
      </c>
      <c r="N133" s="36" t="s">
        <v>1526</v>
      </c>
      <c r="O133" s="24">
        <f t="shared" si="34"/>
        <v>0</v>
      </c>
      <c r="Z133" s="24">
        <f t="shared" si="35"/>
        <v>0</v>
      </c>
      <c r="AA133" s="24">
        <f t="shared" si="36"/>
        <v>0</v>
      </c>
      <c r="AB133" s="24">
        <f t="shared" si="37"/>
        <v>0</v>
      </c>
      <c r="AD133" s="39">
        <v>15</v>
      </c>
      <c r="AE133" s="39">
        <f t="shared" si="38"/>
        <v>0</v>
      </c>
      <c r="AF133" s="39">
        <f t="shared" si="39"/>
        <v>0</v>
      </c>
      <c r="AM133" s="39">
        <f t="shared" si="40"/>
        <v>0</v>
      </c>
      <c r="AN133" s="39">
        <f t="shared" si="41"/>
        <v>0</v>
      </c>
      <c r="AO133" s="40" t="s">
        <v>1559</v>
      </c>
      <c r="AP133" s="40" t="s">
        <v>1602</v>
      </c>
      <c r="AQ133" s="31" t="s">
        <v>1607</v>
      </c>
    </row>
    <row r="134" spans="1:43" ht="12.75">
      <c r="A134" s="6" t="s">
        <v>77</v>
      </c>
      <c r="B134" s="6" t="s">
        <v>588</v>
      </c>
      <c r="C134" s="6" t="s">
        <v>679</v>
      </c>
      <c r="D134" s="6" t="s">
        <v>1061</v>
      </c>
      <c r="E134" s="6" t="s">
        <v>1494</v>
      </c>
      <c r="F134" s="24">
        <v>14</v>
      </c>
      <c r="G134" s="24">
        <v>0</v>
      </c>
      <c r="H134" s="24">
        <f t="shared" si="30"/>
        <v>0</v>
      </c>
      <c r="I134" s="24">
        <f t="shared" si="31"/>
        <v>0</v>
      </c>
      <c r="J134" s="24">
        <f t="shared" si="32"/>
        <v>0</v>
      </c>
      <c r="K134" s="24">
        <v>1E-05</v>
      </c>
      <c r="L134" s="24">
        <f t="shared" si="33"/>
        <v>0.00014000000000000001</v>
      </c>
      <c r="M134" s="36" t="s">
        <v>1523</v>
      </c>
      <c r="N134" s="36" t="s">
        <v>1526</v>
      </c>
      <c r="O134" s="24">
        <f t="shared" si="34"/>
        <v>0</v>
      </c>
      <c r="Z134" s="24">
        <f t="shared" si="35"/>
        <v>0</v>
      </c>
      <c r="AA134" s="24">
        <f t="shared" si="36"/>
        <v>0</v>
      </c>
      <c r="AB134" s="24">
        <f t="shared" si="37"/>
        <v>0</v>
      </c>
      <c r="AD134" s="39">
        <v>15</v>
      </c>
      <c r="AE134" s="39">
        <f t="shared" si="38"/>
        <v>0</v>
      </c>
      <c r="AF134" s="39">
        <f t="shared" si="39"/>
        <v>0</v>
      </c>
      <c r="AM134" s="39">
        <f t="shared" si="40"/>
        <v>0</v>
      </c>
      <c r="AN134" s="39">
        <f t="shared" si="41"/>
        <v>0</v>
      </c>
      <c r="AO134" s="40" t="s">
        <v>1559</v>
      </c>
      <c r="AP134" s="40" t="s">
        <v>1602</v>
      </c>
      <c r="AQ134" s="31" t="s">
        <v>1607</v>
      </c>
    </row>
    <row r="135" spans="1:43" ht="12.75">
      <c r="A135" s="6" t="s">
        <v>78</v>
      </c>
      <c r="B135" s="6" t="s">
        <v>588</v>
      </c>
      <c r="C135" s="6" t="s">
        <v>680</v>
      </c>
      <c r="D135" s="6" t="s">
        <v>1062</v>
      </c>
      <c r="E135" s="6" t="s">
        <v>1494</v>
      </c>
      <c r="F135" s="24">
        <v>1</v>
      </c>
      <c r="G135" s="24">
        <v>0</v>
      </c>
      <c r="H135" s="24">
        <f t="shared" si="30"/>
        <v>0</v>
      </c>
      <c r="I135" s="24">
        <f t="shared" si="31"/>
        <v>0</v>
      </c>
      <c r="J135" s="24">
        <f t="shared" si="32"/>
        <v>0</v>
      </c>
      <c r="K135" s="24">
        <v>0.033</v>
      </c>
      <c r="L135" s="24">
        <f t="shared" si="33"/>
        <v>0.033</v>
      </c>
      <c r="M135" s="36" t="s">
        <v>1523</v>
      </c>
      <c r="N135" s="36" t="s">
        <v>1526</v>
      </c>
      <c r="O135" s="24">
        <f t="shared" si="34"/>
        <v>0</v>
      </c>
      <c r="Z135" s="24">
        <f t="shared" si="35"/>
        <v>0</v>
      </c>
      <c r="AA135" s="24">
        <f t="shared" si="36"/>
        <v>0</v>
      </c>
      <c r="AB135" s="24">
        <f t="shared" si="37"/>
        <v>0</v>
      </c>
      <c r="AD135" s="39">
        <v>15</v>
      </c>
      <c r="AE135" s="39">
        <f t="shared" si="38"/>
        <v>0</v>
      </c>
      <c r="AF135" s="39">
        <f t="shared" si="39"/>
        <v>0</v>
      </c>
      <c r="AM135" s="39">
        <f t="shared" si="40"/>
        <v>0</v>
      </c>
      <c r="AN135" s="39">
        <f t="shared" si="41"/>
        <v>0</v>
      </c>
      <c r="AO135" s="40" t="s">
        <v>1559</v>
      </c>
      <c r="AP135" s="40" t="s">
        <v>1602</v>
      </c>
      <c r="AQ135" s="31" t="s">
        <v>1607</v>
      </c>
    </row>
    <row r="136" spans="1:43" ht="12.75">
      <c r="A136" s="6" t="s">
        <v>79</v>
      </c>
      <c r="B136" s="6" t="s">
        <v>588</v>
      </c>
      <c r="C136" s="6" t="s">
        <v>681</v>
      </c>
      <c r="D136" s="6" t="s">
        <v>1063</v>
      </c>
      <c r="E136" s="6" t="s">
        <v>1494</v>
      </c>
      <c r="F136" s="24">
        <v>30</v>
      </c>
      <c r="G136" s="24">
        <v>0</v>
      </c>
      <c r="H136" s="24">
        <f t="shared" si="30"/>
        <v>0</v>
      </c>
      <c r="I136" s="24">
        <f t="shared" si="31"/>
        <v>0</v>
      </c>
      <c r="J136" s="24">
        <f t="shared" si="32"/>
        <v>0</v>
      </c>
      <c r="K136" s="24">
        <v>0</v>
      </c>
      <c r="L136" s="24">
        <f t="shared" si="33"/>
        <v>0</v>
      </c>
      <c r="M136" s="36" t="s">
        <v>1523</v>
      </c>
      <c r="N136" s="36" t="s">
        <v>1526</v>
      </c>
      <c r="O136" s="24">
        <f t="shared" si="34"/>
        <v>0</v>
      </c>
      <c r="Z136" s="24">
        <f t="shared" si="35"/>
        <v>0</v>
      </c>
      <c r="AA136" s="24">
        <f t="shared" si="36"/>
        <v>0</v>
      </c>
      <c r="AB136" s="24">
        <f t="shared" si="37"/>
        <v>0</v>
      </c>
      <c r="AD136" s="39">
        <v>15</v>
      </c>
      <c r="AE136" s="39">
        <f t="shared" si="38"/>
        <v>0</v>
      </c>
      <c r="AF136" s="39">
        <f t="shared" si="39"/>
        <v>0</v>
      </c>
      <c r="AM136" s="39">
        <f t="shared" si="40"/>
        <v>0</v>
      </c>
      <c r="AN136" s="39">
        <f t="shared" si="41"/>
        <v>0</v>
      </c>
      <c r="AO136" s="40" t="s">
        <v>1559</v>
      </c>
      <c r="AP136" s="40" t="s">
        <v>1602</v>
      </c>
      <c r="AQ136" s="31" t="s">
        <v>1607</v>
      </c>
    </row>
    <row r="137" spans="1:13" ht="12.75">
      <c r="A137" s="7"/>
      <c r="B137" s="15" t="s">
        <v>589</v>
      </c>
      <c r="C137" s="15"/>
      <c r="D137" s="106" t="s">
        <v>1064</v>
      </c>
      <c r="E137" s="107"/>
      <c r="F137" s="107"/>
      <c r="G137" s="107"/>
      <c r="H137" s="43">
        <f>H138+H154+H166+H171+H174+H182+H188+H201+H226+H259+H269+H273+H276+H281+H286+H306+H310+H326+H336+H340+H355+H359+H364+H368+H370+H372+H390+H394+H396+H398+H400+H402+H404+H406+H408+H410+H412+H414+H416+H418+H420+H422+H424+H426+H428</f>
        <v>0</v>
      </c>
      <c r="I137" s="43">
        <f>I138+I154+I166+I171+I174+I182+I188+I201+I226+I259+I269+I273+I276+I281+I286+I306+I310+I326+I336+I340+I355+I359+I364+I368+I370+I372+I390+I394+I396+I398+I400+I402+I404+I406+I408+I410+I412+I414+I416+I418+I420+I422+I424+I426+I428</f>
        <v>0</v>
      </c>
      <c r="J137" s="43">
        <f>H137+I137</f>
        <v>0</v>
      </c>
      <c r="K137" s="32"/>
      <c r="L137" s="43">
        <f>L138+L154+L166+L171+L174+L182+L188+L201+L226+L259+L269+L273+L276+L281+L286+L306+L310+L326+L336+L340+L355+L359+L364+L368+L370+L372+L390+L394+L396+L398+L400+L402+L404+L406+L408+L410+L412+L414+L416+L418+L420+L422+L424+L426+L428</f>
        <v>48.42553815000001</v>
      </c>
      <c r="M137" s="32"/>
    </row>
    <row r="138" spans="1:37" ht="12.75">
      <c r="A138" s="4"/>
      <c r="B138" s="14" t="s">
        <v>589</v>
      </c>
      <c r="C138" s="14" t="s">
        <v>40</v>
      </c>
      <c r="D138" s="104" t="s">
        <v>1065</v>
      </c>
      <c r="E138" s="105"/>
      <c r="F138" s="105"/>
      <c r="G138" s="105"/>
      <c r="H138" s="42">
        <f>SUM(H139:H147)</f>
        <v>0</v>
      </c>
      <c r="I138" s="42">
        <f>SUM(I139:I147)</f>
        <v>0</v>
      </c>
      <c r="J138" s="42">
        <f>H138+I138</f>
        <v>0</v>
      </c>
      <c r="K138" s="31"/>
      <c r="L138" s="42">
        <f>SUM(L139:L147)</f>
        <v>6.6299664</v>
      </c>
      <c r="M138" s="31"/>
      <c r="P138" s="42">
        <f>IF(Q138="PR",J138,SUM(O139:O147))</f>
        <v>0</v>
      </c>
      <c r="Q138" s="31" t="s">
        <v>1529</v>
      </c>
      <c r="R138" s="42">
        <f>IF(Q138="HS",H138,0)</f>
        <v>0</v>
      </c>
      <c r="S138" s="42">
        <f>IF(Q138="HS",I138-P138,0)</f>
        <v>0</v>
      </c>
      <c r="T138" s="42">
        <f>IF(Q138="PS",H138,0)</f>
        <v>0</v>
      </c>
      <c r="U138" s="42">
        <f>IF(Q138="PS",I138-P138,0)</f>
        <v>0</v>
      </c>
      <c r="V138" s="42">
        <f>IF(Q138="MP",H138,0)</f>
        <v>0</v>
      </c>
      <c r="W138" s="42">
        <f>IF(Q138="MP",I138-P138,0)</f>
        <v>0</v>
      </c>
      <c r="X138" s="42">
        <f>IF(Q138="OM",H138,0)</f>
        <v>0</v>
      </c>
      <c r="Y138" s="31" t="s">
        <v>589</v>
      </c>
      <c r="AI138" s="42">
        <f>SUM(Z139:Z147)</f>
        <v>0</v>
      </c>
      <c r="AJ138" s="42">
        <f>SUM(AA139:AA147)</f>
        <v>0</v>
      </c>
      <c r="AK138" s="42">
        <f>SUM(AB139:AB147)</f>
        <v>0</v>
      </c>
    </row>
    <row r="139" spans="1:43" ht="12.75">
      <c r="A139" s="5" t="s">
        <v>80</v>
      </c>
      <c r="B139" s="5" t="s">
        <v>589</v>
      </c>
      <c r="C139" s="5" t="s">
        <v>682</v>
      </c>
      <c r="D139" s="5" t="s">
        <v>1066</v>
      </c>
      <c r="E139" s="5" t="s">
        <v>1493</v>
      </c>
      <c r="F139" s="22">
        <v>178.24</v>
      </c>
      <c r="G139" s="22">
        <v>0</v>
      </c>
      <c r="H139" s="22">
        <f>F139*AE139</f>
        <v>0</v>
      </c>
      <c r="I139" s="22">
        <f>J139-H139</f>
        <v>0</v>
      </c>
      <c r="J139" s="22">
        <f>F139*G139</f>
        <v>0</v>
      </c>
      <c r="K139" s="22">
        <v>0.0186</v>
      </c>
      <c r="L139" s="22">
        <f>F139*K139</f>
        <v>3.315264</v>
      </c>
      <c r="M139" s="35" t="s">
        <v>1523</v>
      </c>
      <c r="N139" s="35" t="s">
        <v>7</v>
      </c>
      <c r="O139" s="22">
        <f>IF(N139="5",I139,0)</f>
        <v>0</v>
      </c>
      <c r="Z139" s="22">
        <f>IF(AD139=0,J139,0)</f>
        <v>0</v>
      </c>
      <c r="AA139" s="22">
        <f>IF(AD139=15,J139,0)</f>
        <v>0</v>
      </c>
      <c r="AB139" s="22">
        <f>IF(AD139=21,J139,0)</f>
        <v>0</v>
      </c>
      <c r="AD139" s="39">
        <v>15</v>
      </c>
      <c r="AE139" s="39">
        <f>G139*0.375521472392638</f>
        <v>0</v>
      </c>
      <c r="AF139" s="39">
        <f>G139*(1-0.375521472392638)</f>
        <v>0</v>
      </c>
      <c r="AM139" s="39">
        <f>F139*AE139</f>
        <v>0</v>
      </c>
      <c r="AN139" s="39">
        <f>F139*AF139</f>
        <v>0</v>
      </c>
      <c r="AO139" s="40" t="s">
        <v>1560</v>
      </c>
      <c r="AP139" s="40" t="s">
        <v>1603</v>
      </c>
      <c r="AQ139" s="31" t="s">
        <v>1608</v>
      </c>
    </row>
    <row r="140" ht="12.75">
      <c r="D140" s="18" t="s">
        <v>1067</v>
      </c>
    </row>
    <row r="141" spans="4:6" ht="10.5" customHeight="1">
      <c r="D141" s="17" t="s">
        <v>1068</v>
      </c>
      <c r="F141" s="23">
        <v>178.24</v>
      </c>
    </row>
    <row r="142" spans="1:43" ht="12.75">
      <c r="A142" s="5" t="s">
        <v>81</v>
      </c>
      <c r="B142" s="5" t="s">
        <v>589</v>
      </c>
      <c r="C142" s="5" t="s">
        <v>683</v>
      </c>
      <c r="D142" s="5" t="s">
        <v>1066</v>
      </c>
      <c r="E142" s="5" t="s">
        <v>1493</v>
      </c>
      <c r="F142" s="22">
        <v>11.07</v>
      </c>
      <c r="G142" s="22">
        <v>0</v>
      </c>
      <c r="H142" s="22">
        <f>F142*AE142</f>
        <v>0</v>
      </c>
      <c r="I142" s="22">
        <f>J142-H142</f>
        <v>0</v>
      </c>
      <c r="J142" s="22">
        <f>F142*G142</f>
        <v>0</v>
      </c>
      <c r="K142" s="22">
        <v>0.0186</v>
      </c>
      <c r="L142" s="22">
        <f>F142*K142</f>
        <v>0.205902</v>
      </c>
      <c r="M142" s="35" t="s">
        <v>1523</v>
      </c>
      <c r="N142" s="35" t="s">
        <v>7</v>
      </c>
      <c r="O142" s="22">
        <f>IF(N142="5",I142,0)</f>
        <v>0</v>
      </c>
      <c r="Z142" s="22">
        <f>IF(AD142=0,J142,0)</f>
        <v>0</v>
      </c>
      <c r="AA142" s="22">
        <f>IF(AD142=15,J142,0)</f>
        <v>0</v>
      </c>
      <c r="AB142" s="22">
        <f>IF(AD142=21,J142,0)</f>
        <v>0</v>
      </c>
      <c r="AD142" s="39">
        <v>15</v>
      </c>
      <c r="AE142" s="39">
        <f>G142*0.415</f>
        <v>0</v>
      </c>
      <c r="AF142" s="39">
        <f>G142*(1-0.415)</f>
        <v>0</v>
      </c>
      <c r="AM142" s="39">
        <f>F142*AE142</f>
        <v>0</v>
      </c>
      <c r="AN142" s="39">
        <f>F142*AF142</f>
        <v>0</v>
      </c>
      <c r="AO142" s="40" t="s">
        <v>1560</v>
      </c>
      <c r="AP142" s="40" t="s">
        <v>1603</v>
      </c>
      <c r="AQ142" s="31" t="s">
        <v>1608</v>
      </c>
    </row>
    <row r="143" ht="12.75">
      <c r="D143" s="18" t="s">
        <v>1069</v>
      </c>
    </row>
    <row r="144" spans="1:43" ht="12.75">
      <c r="A144" s="5" t="s">
        <v>82</v>
      </c>
      <c r="B144" s="5" t="s">
        <v>589</v>
      </c>
      <c r="C144" s="5" t="s">
        <v>684</v>
      </c>
      <c r="D144" s="5" t="s">
        <v>1070</v>
      </c>
      <c r="E144" s="5" t="s">
        <v>1493</v>
      </c>
      <c r="F144" s="22">
        <v>8.28</v>
      </c>
      <c r="G144" s="22">
        <v>0</v>
      </c>
      <c r="H144" s="22">
        <f>F144*AE144</f>
        <v>0</v>
      </c>
      <c r="I144" s="22">
        <f>J144-H144</f>
        <v>0</v>
      </c>
      <c r="J144" s="22">
        <f>F144*G144</f>
        <v>0</v>
      </c>
      <c r="K144" s="22">
        <v>0.0706</v>
      </c>
      <c r="L144" s="22">
        <f>F144*K144</f>
        <v>0.584568</v>
      </c>
      <c r="M144" s="35" t="s">
        <v>1523</v>
      </c>
      <c r="N144" s="35" t="s">
        <v>9</v>
      </c>
      <c r="O144" s="22">
        <f>IF(N144="5",I144,0)</f>
        <v>0</v>
      </c>
      <c r="Z144" s="22">
        <f>IF(AD144=0,J144,0)</f>
        <v>0</v>
      </c>
      <c r="AA144" s="22">
        <f>IF(AD144=15,J144,0)</f>
        <v>0</v>
      </c>
      <c r="AB144" s="22">
        <f>IF(AD144=21,J144,0)</f>
        <v>0</v>
      </c>
      <c r="AD144" s="39">
        <v>15</v>
      </c>
      <c r="AE144" s="39">
        <f>G144*0.636367265469062</f>
        <v>0</v>
      </c>
      <c r="AF144" s="39">
        <f>G144*(1-0.636367265469062)</f>
        <v>0</v>
      </c>
      <c r="AM144" s="39">
        <f>F144*AE144</f>
        <v>0</v>
      </c>
      <c r="AN144" s="39">
        <f>F144*AF144</f>
        <v>0</v>
      </c>
      <c r="AO144" s="40" t="s">
        <v>1560</v>
      </c>
      <c r="AP144" s="40" t="s">
        <v>1603</v>
      </c>
      <c r="AQ144" s="31" t="s">
        <v>1608</v>
      </c>
    </row>
    <row r="145" ht="12.75">
      <c r="D145" s="18" t="s">
        <v>1071</v>
      </c>
    </row>
    <row r="146" spans="4:6" ht="10.5" customHeight="1">
      <c r="D146" s="17" t="s">
        <v>1072</v>
      </c>
      <c r="F146" s="23">
        <v>8.28</v>
      </c>
    </row>
    <row r="147" spans="1:43" ht="12.75">
      <c r="A147" s="5" t="s">
        <v>83</v>
      </c>
      <c r="B147" s="5" t="s">
        <v>589</v>
      </c>
      <c r="C147" s="5" t="s">
        <v>684</v>
      </c>
      <c r="D147" s="5" t="s">
        <v>1070</v>
      </c>
      <c r="E147" s="5" t="s">
        <v>1493</v>
      </c>
      <c r="F147" s="22">
        <v>35.754</v>
      </c>
      <c r="G147" s="22">
        <v>0</v>
      </c>
      <c r="H147" s="22">
        <f>F147*AE147</f>
        <v>0</v>
      </c>
      <c r="I147" s="22">
        <f>J147-H147</f>
        <v>0</v>
      </c>
      <c r="J147" s="22">
        <f>F147*G147</f>
        <v>0</v>
      </c>
      <c r="K147" s="22">
        <v>0.0706</v>
      </c>
      <c r="L147" s="22">
        <f>F147*K147</f>
        <v>2.5242324</v>
      </c>
      <c r="M147" s="35" t="s">
        <v>1523</v>
      </c>
      <c r="N147" s="35" t="s">
        <v>9</v>
      </c>
      <c r="O147" s="22">
        <f>IF(N147="5",I147,0)</f>
        <v>0</v>
      </c>
      <c r="Z147" s="22">
        <f>IF(AD147=0,J147,0)</f>
        <v>0</v>
      </c>
      <c r="AA147" s="22">
        <f>IF(AD147=15,J147,0)</f>
        <v>0</v>
      </c>
      <c r="AB147" s="22">
        <f>IF(AD147=21,J147,0)</f>
        <v>0</v>
      </c>
      <c r="AD147" s="39">
        <v>15</v>
      </c>
      <c r="AE147" s="39">
        <f>G147*0.636367265469062</f>
        <v>0</v>
      </c>
      <c r="AF147" s="39">
        <f>G147*(1-0.636367265469062)</f>
        <v>0</v>
      </c>
      <c r="AM147" s="39">
        <f>F147*AE147</f>
        <v>0</v>
      </c>
      <c r="AN147" s="39">
        <f>F147*AF147</f>
        <v>0</v>
      </c>
      <c r="AO147" s="40" t="s">
        <v>1560</v>
      </c>
      <c r="AP147" s="40" t="s">
        <v>1603</v>
      </c>
      <c r="AQ147" s="31" t="s">
        <v>1608</v>
      </c>
    </row>
    <row r="148" ht="12.75">
      <c r="D148" s="18" t="s">
        <v>1073</v>
      </c>
    </row>
    <row r="149" spans="4:6" ht="10.5" customHeight="1">
      <c r="D149" s="17" t="s">
        <v>1074</v>
      </c>
      <c r="F149" s="23">
        <v>12.96</v>
      </c>
    </row>
    <row r="150" spans="4:6" ht="10.5" customHeight="1">
      <c r="D150" s="17" t="s">
        <v>1075</v>
      </c>
      <c r="F150" s="23">
        <v>25.11</v>
      </c>
    </row>
    <row r="151" spans="4:6" ht="10.5" customHeight="1">
      <c r="D151" s="17" t="s">
        <v>1076</v>
      </c>
      <c r="F151" s="23">
        <v>13.284</v>
      </c>
    </row>
    <row r="152" spans="4:6" ht="10.5" customHeight="1">
      <c r="D152" s="17" t="s">
        <v>1077</v>
      </c>
      <c r="F152" s="23">
        <v>-10.8</v>
      </c>
    </row>
    <row r="153" spans="4:6" ht="10.5" customHeight="1">
      <c r="D153" s="17" t="s">
        <v>1078</v>
      </c>
      <c r="F153" s="23">
        <v>-4.8</v>
      </c>
    </row>
    <row r="154" spans="1:37" ht="12.75">
      <c r="A154" s="4"/>
      <c r="B154" s="14" t="s">
        <v>589</v>
      </c>
      <c r="C154" s="14" t="s">
        <v>67</v>
      </c>
      <c r="D154" s="104" t="s">
        <v>958</v>
      </c>
      <c r="E154" s="105"/>
      <c r="F154" s="105"/>
      <c r="G154" s="105"/>
      <c r="H154" s="42">
        <f>SUM(H155:H163)</f>
        <v>0</v>
      </c>
      <c r="I154" s="42">
        <f>SUM(I155:I163)</f>
        <v>0</v>
      </c>
      <c r="J154" s="42">
        <f>H154+I154</f>
        <v>0</v>
      </c>
      <c r="K154" s="31"/>
      <c r="L154" s="42">
        <f>SUM(L155:L163)</f>
        <v>7.704231</v>
      </c>
      <c r="M154" s="31"/>
      <c r="P154" s="42">
        <f>IF(Q154="PR",J154,SUM(O155:O163))</f>
        <v>0</v>
      </c>
      <c r="Q154" s="31" t="s">
        <v>1529</v>
      </c>
      <c r="R154" s="42">
        <f>IF(Q154="HS",H154,0)</f>
        <v>0</v>
      </c>
      <c r="S154" s="42">
        <f>IF(Q154="HS",I154-P154,0)</f>
        <v>0</v>
      </c>
      <c r="T154" s="42">
        <f>IF(Q154="PS",H154,0)</f>
        <v>0</v>
      </c>
      <c r="U154" s="42">
        <f>IF(Q154="PS",I154-P154,0)</f>
        <v>0</v>
      </c>
      <c r="V154" s="42">
        <f>IF(Q154="MP",H154,0)</f>
        <v>0</v>
      </c>
      <c r="W154" s="42">
        <f>IF(Q154="MP",I154-P154,0)</f>
        <v>0</v>
      </c>
      <c r="X154" s="42">
        <f>IF(Q154="OM",H154,0)</f>
        <v>0</v>
      </c>
      <c r="Y154" s="31" t="s">
        <v>589</v>
      </c>
      <c r="AI154" s="42">
        <f>SUM(Z155:Z163)</f>
        <v>0</v>
      </c>
      <c r="AJ154" s="42">
        <f>SUM(AA155:AA163)</f>
        <v>0</v>
      </c>
      <c r="AK154" s="42">
        <f>SUM(AB155:AB163)</f>
        <v>0</v>
      </c>
    </row>
    <row r="155" spans="1:43" ht="12.75">
      <c r="A155" s="5" t="s">
        <v>84</v>
      </c>
      <c r="B155" s="5" t="s">
        <v>589</v>
      </c>
      <c r="C155" s="5" t="s">
        <v>685</v>
      </c>
      <c r="D155" s="5" t="s">
        <v>1079</v>
      </c>
      <c r="E155" s="5" t="s">
        <v>1493</v>
      </c>
      <c r="F155" s="22">
        <v>11.64</v>
      </c>
      <c r="G155" s="22">
        <v>0</v>
      </c>
      <c r="H155" s="22">
        <f>F155*AE155</f>
        <v>0</v>
      </c>
      <c r="I155" s="22">
        <f>J155-H155</f>
        <v>0</v>
      </c>
      <c r="J155" s="22">
        <f>F155*G155</f>
        <v>0</v>
      </c>
      <c r="K155" s="22">
        <v>0.00367</v>
      </c>
      <c r="L155" s="22">
        <f>F155*K155</f>
        <v>0.0427188</v>
      </c>
      <c r="M155" s="35" t="s">
        <v>1523</v>
      </c>
      <c r="N155" s="35" t="s">
        <v>7</v>
      </c>
      <c r="O155" s="22">
        <f>IF(N155="5",I155,0)</f>
        <v>0</v>
      </c>
      <c r="Z155" s="22">
        <f>IF(AD155=0,J155,0)</f>
        <v>0</v>
      </c>
      <c r="AA155" s="22">
        <f>IF(AD155=15,J155,0)</f>
        <v>0</v>
      </c>
      <c r="AB155" s="22">
        <f>IF(AD155=21,J155,0)</f>
        <v>0</v>
      </c>
      <c r="AD155" s="39">
        <v>15</v>
      </c>
      <c r="AE155" s="39">
        <f>G155*0.298520693667239</f>
        <v>0</v>
      </c>
      <c r="AF155" s="39">
        <f>G155*(1-0.298520693667239)</f>
        <v>0</v>
      </c>
      <c r="AM155" s="39">
        <f>F155*AE155</f>
        <v>0</v>
      </c>
      <c r="AN155" s="39">
        <f>F155*AF155</f>
        <v>0</v>
      </c>
      <c r="AO155" s="40" t="s">
        <v>1540</v>
      </c>
      <c r="AP155" s="40" t="s">
        <v>1596</v>
      </c>
      <c r="AQ155" s="31" t="s">
        <v>1608</v>
      </c>
    </row>
    <row r="156" ht="12.75">
      <c r="D156" s="18" t="s">
        <v>969</v>
      </c>
    </row>
    <row r="157" spans="4:6" ht="10.5" customHeight="1">
      <c r="D157" s="17" t="s">
        <v>1080</v>
      </c>
      <c r="F157" s="23">
        <v>11.64</v>
      </c>
    </row>
    <row r="158" spans="1:43" ht="12.75">
      <c r="A158" s="5" t="s">
        <v>85</v>
      </c>
      <c r="B158" s="5" t="s">
        <v>589</v>
      </c>
      <c r="C158" s="5" t="s">
        <v>595</v>
      </c>
      <c r="D158" s="5" t="s">
        <v>959</v>
      </c>
      <c r="E158" s="5" t="s">
        <v>1493</v>
      </c>
      <c r="F158" s="22">
        <v>376.618</v>
      </c>
      <c r="G158" s="22">
        <v>0</v>
      </c>
      <c r="H158" s="22">
        <f>F158*AE158</f>
        <v>0</v>
      </c>
      <c r="I158" s="22">
        <f>J158-H158</f>
        <v>0</v>
      </c>
      <c r="J158" s="22">
        <f>F158*G158</f>
        <v>0</v>
      </c>
      <c r="K158" s="22">
        <v>0.0021</v>
      </c>
      <c r="L158" s="22">
        <f>F158*K158</f>
        <v>0.7908978</v>
      </c>
      <c r="M158" s="35" t="s">
        <v>1523</v>
      </c>
      <c r="N158" s="35" t="s">
        <v>7</v>
      </c>
      <c r="O158" s="22">
        <f>IF(N158="5",I158,0)</f>
        <v>0</v>
      </c>
      <c r="Z158" s="22">
        <f>IF(AD158=0,J158,0)</f>
        <v>0</v>
      </c>
      <c r="AA158" s="22">
        <f>IF(AD158=15,J158,0)</f>
        <v>0</v>
      </c>
      <c r="AB158" s="22">
        <f>IF(AD158=21,J158,0)</f>
        <v>0</v>
      </c>
      <c r="AD158" s="39">
        <v>15</v>
      </c>
      <c r="AE158" s="39">
        <f>G158*0.815916955017301</f>
        <v>0</v>
      </c>
      <c r="AF158" s="39">
        <f>G158*(1-0.815916955017301)</f>
        <v>0</v>
      </c>
      <c r="AM158" s="39">
        <f>F158*AE158</f>
        <v>0</v>
      </c>
      <c r="AN158" s="39">
        <f>F158*AF158</f>
        <v>0</v>
      </c>
      <c r="AO158" s="40" t="s">
        <v>1540</v>
      </c>
      <c r="AP158" s="40" t="s">
        <v>1596</v>
      </c>
      <c r="AQ158" s="31" t="s">
        <v>1608</v>
      </c>
    </row>
    <row r="159" spans="4:6" ht="10.5" customHeight="1">
      <c r="D159" s="17" t="s">
        <v>1081</v>
      </c>
      <c r="F159" s="23">
        <v>376.618</v>
      </c>
    </row>
    <row r="160" spans="1:43" ht="12.75">
      <c r="A160" s="5" t="s">
        <v>86</v>
      </c>
      <c r="B160" s="5" t="s">
        <v>589</v>
      </c>
      <c r="C160" s="5" t="s">
        <v>596</v>
      </c>
      <c r="D160" s="5" t="s">
        <v>964</v>
      </c>
      <c r="E160" s="5" t="s">
        <v>1493</v>
      </c>
      <c r="F160" s="22">
        <v>384.9</v>
      </c>
      <c r="G160" s="22">
        <v>0</v>
      </c>
      <c r="H160" s="22">
        <f>F160*AE160</f>
        <v>0</v>
      </c>
      <c r="I160" s="22">
        <f>J160-H160</f>
        <v>0</v>
      </c>
      <c r="J160" s="22">
        <f>F160*G160</f>
        <v>0</v>
      </c>
      <c r="K160" s="22">
        <v>0.00635</v>
      </c>
      <c r="L160" s="22">
        <f>F160*K160</f>
        <v>2.4441149999999996</v>
      </c>
      <c r="M160" s="35" t="s">
        <v>1523</v>
      </c>
      <c r="N160" s="35" t="s">
        <v>7</v>
      </c>
      <c r="O160" s="22">
        <f>IF(N160="5",I160,0)</f>
        <v>0</v>
      </c>
      <c r="Z160" s="22">
        <f>IF(AD160=0,J160,0)</f>
        <v>0</v>
      </c>
      <c r="AA160" s="22">
        <f>IF(AD160=15,J160,0)</f>
        <v>0</v>
      </c>
      <c r="AB160" s="22">
        <f>IF(AD160=21,J160,0)</f>
        <v>0</v>
      </c>
      <c r="AD160" s="39">
        <v>15</v>
      </c>
      <c r="AE160" s="39">
        <f>G160*0.0665993945509586</f>
        <v>0</v>
      </c>
      <c r="AF160" s="39">
        <f>G160*(1-0.0665993945509586)</f>
        <v>0</v>
      </c>
      <c r="AM160" s="39">
        <f>F160*AE160</f>
        <v>0</v>
      </c>
      <c r="AN160" s="39">
        <f>F160*AF160</f>
        <v>0</v>
      </c>
      <c r="AO160" s="40" t="s">
        <v>1540</v>
      </c>
      <c r="AP160" s="40" t="s">
        <v>1596</v>
      </c>
      <c r="AQ160" s="31" t="s">
        <v>1608</v>
      </c>
    </row>
    <row r="161" spans="4:6" ht="10.5" customHeight="1">
      <c r="D161" s="17" t="s">
        <v>1082</v>
      </c>
      <c r="F161" s="23">
        <v>384.9</v>
      </c>
    </row>
    <row r="162" spans="1:43" ht="12.75">
      <c r="A162" s="5" t="s">
        <v>87</v>
      </c>
      <c r="B162" s="5" t="s">
        <v>589</v>
      </c>
      <c r="C162" s="5" t="s">
        <v>686</v>
      </c>
      <c r="D162" s="5" t="s">
        <v>1083</v>
      </c>
      <c r="E162" s="5" t="s">
        <v>1495</v>
      </c>
      <c r="F162" s="22">
        <v>150</v>
      </c>
      <c r="G162" s="22">
        <v>0</v>
      </c>
      <c r="H162" s="22">
        <f>F162*AE162</f>
        <v>0</v>
      </c>
      <c r="I162" s="22">
        <f>J162-H162</f>
        <v>0</v>
      </c>
      <c r="J162" s="22">
        <f>F162*G162</f>
        <v>0</v>
      </c>
      <c r="K162" s="22">
        <v>0.01733</v>
      </c>
      <c r="L162" s="22">
        <f>F162*K162</f>
        <v>2.5995000000000004</v>
      </c>
      <c r="M162" s="35" t="s">
        <v>1523</v>
      </c>
      <c r="N162" s="35" t="s">
        <v>7</v>
      </c>
      <c r="O162" s="22">
        <f>IF(N162="5",I162,0)</f>
        <v>0</v>
      </c>
      <c r="Z162" s="22">
        <f>IF(AD162=0,J162,0)</f>
        <v>0</v>
      </c>
      <c r="AA162" s="22">
        <f>IF(AD162=15,J162,0)</f>
        <v>0</v>
      </c>
      <c r="AB162" s="22">
        <f>IF(AD162=21,J162,0)</f>
        <v>0</v>
      </c>
      <c r="AD162" s="39">
        <v>15</v>
      </c>
      <c r="AE162" s="39">
        <f>G162*0.395538461538462</f>
        <v>0</v>
      </c>
      <c r="AF162" s="39">
        <f>G162*(1-0.395538461538462)</f>
        <v>0</v>
      </c>
      <c r="AM162" s="39">
        <f>F162*AE162</f>
        <v>0</v>
      </c>
      <c r="AN162" s="39">
        <f>F162*AF162</f>
        <v>0</v>
      </c>
      <c r="AO162" s="40" t="s">
        <v>1540</v>
      </c>
      <c r="AP162" s="40" t="s">
        <v>1596</v>
      </c>
      <c r="AQ162" s="31" t="s">
        <v>1608</v>
      </c>
    </row>
    <row r="163" spans="1:43" ht="12.75">
      <c r="A163" s="5" t="s">
        <v>88</v>
      </c>
      <c r="B163" s="5" t="s">
        <v>589</v>
      </c>
      <c r="C163" s="5" t="s">
        <v>685</v>
      </c>
      <c r="D163" s="5" t="s">
        <v>1079</v>
      </c>
      <c r="E163" s="5" t="s">
        <v>1493</v>
      </c>
      <c r="F163" s="22">
        <v>497.82</v>
      </c>
      <c r="G163" s="22">
        <v>0</v>
      </c>
      <c r="H163" s="22">
        <f>F163*AE163</f>
        <v>0</v>
      </c>
      <c r="I163" s="22">
        <f>J163-H163</f>
        <v>0</v>
      </c>
      <c r="J163" s="22">
        <f>F163*G163</f>
        <v>0</v>
      </c>
      <c r="K163" s="22">
        <v>0.00367</v>
      </c>
      <c r="L163" s="22">
        <f>F163*K163</f>
        <v>1.8269994</v>
      </c>
      <c r="M163" s="35" t="s">
        <v>1523</v>
      </c>
      <c r="N163" s="35" t="s">
        <v>7</v>
      </c>
      <c r="O163" s="22">
        <f>IF(N163="5",I163,0)</f>
        <v>0</v>
      </c>
      <c r="Z163" s="22">
        <f>IF(AD163=0,J163,0)</f>
        <v>0</v>
      </c>
      <c r="AA163" s="22">
        <f>IF(AD163=15,J163,0)</f>
        <v>0</v>
      </c>
      <c r="AB163" s="22">
        <f>IF(AD163=21,J163,0)</f>
        <v>0</v>
      </c>
      <c r="AD163" s="39">
        <v>15</v>
      </c>
      <c r="AE163" s="39">
        <f>G163*0.298520693667239</f>
        <v>0</v>
      </c>
      <c r="AF163" s="39">
        <f>G163*(1-0.298520693667239)</f>
        <v>0</v>
      </c>
      <c r="AM163" s="39">
        <f>F163*AE163</f>
        <v>0</v>
      </c>
      <c r="AN163" s="39">
        <f>F163*AF163</f>
        <v>0</v>
      </c>
      <c r="AO163" s="40" t="s">
        <v>1540</v>
      </c>
      <c r="AP163" s="40" t="s">
        <v>1596</v>
      </c>
      <c r="AQ163" s="31" t="s">
        <v>1608</v>
      </c>
    </row>
    <row r="164" ht="12.75">
      <c r="D164" s="18" t="s">
        <v>969</v>
      </c>
    </row>
    <row r="165" spans="4:6" ht="10.5" customHeight="1">
      <c r="D165" s="17" t="s">
        <v>1084</v>
      </c>
      <c r="F165" s="23">
        <v>497.82</v>
      </c>
    </row>
    <row r="166" spans="1:37" ht="12.75">
      <c r="A166" s="4"/>
      <c r="B166" s="14" t="s">
        <v>589</v>
      </c>
      <c r="C166" s="14" t="s">
        <v>69</v>
      </c>
      <c r="D166" s="104" t="s">
        <v>1085</v>
      </c>
      <c r="E166" s="105"/>
      <c r="F166" s="105"/>
      <c r="G166" s="105"/>
      <c r="H166" s="42">
        <f>SUM(H167:H167)</f>
        <v>0</v>
      </c>
      <c r="I166" s="42">
        <f>SUM(I167:I167)</f>
        <v>0</v>
      </c>
      <c r="J166" s="42">
        <f>H166+I166</f>
        <v>0</v>
      </c>
      <c r="K166" s="31"/>
      <c r="L166" s="42">
        <f>SUM(L167:L167)</f>
        <v>13.241897900000001</v>
      </c>
      <c r="M166" s="31"/>
      <c r="P166" s="42">
        <f>IF(Q166="PR",J166,SUM(O167:O167))</f>
        <v>0</v>
      </c>
      <c r="Q166" s="31" t="s">
        <v>1529</v>
      </c>
      <c r="R166" s="42">
        <f>IF(Q166="HS",H166,0)</f>
        <v>0</v>
      </c>
      <c r="S166" s="42">
        <f>IF(Q166="HS",I166-P166,0)</f>
        <v>0</v>
      </c>
      <c r="T166" s="42">
        <f>IF(Q166="PS",H166,0)</f>
        <v>0</v>
      </c>
      <c r="U166" s="42">
        <f>IF(Q166="PS",I166-P166,0)</f>
        <v>0</v>
      </c>
      <c r="V166" s="42">
        <f>IF(Q166="MP",H166,0)</f>
        <v>0</v>
      </c>
      <c r="W166" s="42">
        <f>IF(Q166="MP",I166-P166,0)</f>
        <v>0</v>
      </c>
      <c r="X166" s="42">
        <f>IF(Q166="OM",H166,0)</f>
        <v>0</v>
      </c>
      <c r="Y166" s="31" t="s">
        <v>589</v>
      </c>
      <c r="AI166" s="42">
        <f>SUM(Z167:Z167)</f>
        <v>0</v>
      </c>
      <c r="AJ166" s="42">
        <f>SUM(AA167:AA167)</f>
        <v>0</v>
      </c>
      <c r="AK166" s="42">
        <f>SUM(AB167:AB167)</f>
        <v>0</v>
      </c>
    </row>
    <row r="167" spans="1:43" ht="12.75">
      <c r="A167" s="5" t="s">
        <v>89</v>
      </c>
      <c r="B167" s="5" t="s">
        <v>589</v>
      </c>
      <c r="C167" s="5" t="s">
        <v>687</v>
      </c>
      <c r="D167" s="5" t="s">
        <v>1086</v>
      </c>
      <c r="E167" s="5" t="s">
        <v>1493</v>
      </c>
      <c r="F167" s="22">
        <v>170.27</v>
      </c>
      <c r="G167" s="22">
        <v>0</v>
      </c>
      <c r="H167" s="22">
        <f>F167*AE167</f>
        <v>0</v>
      </c>
      <c r="I167" s="22">
        <f>J167-H167</f>
        <v>0</v>
      </c>
      <c r="J167" s="22">
        <f>F167*G167</f>
        <v>0</v>
      </c>
      <c r="K167" s="22">
        <v>0.07777</v>
      </c>
      <c r="L167" s="22">
        <f>F167*K167</f>
        <v>13.241897900000001</v>
      </c>
      <c r="M167" s="35" t="s">
        <v>1523</v>
      </c>
      <c r="N167" s="35" t="s">
        <v>7</v>
      </c>
      <c r="O167" s="22">
        <f>IF(N167="5",I167,0)</f>
        <v>0</v>
      </c>
      <c r="Z167" s="22">
        <f>IF(AD167=0,J167,0)</f>
        <v>0</v>
      </c>
      <c r="AA167" s="22">
        <f>IF(AD167=15,J167,0)</f>
        <v>0</v>
      </c>
      <c r="AB167" s="22">
        <f>IF(AD167=21,J167,0)</f>
        <v>0</v>
      </c>
      <c r="AD167" s="39">
        <v>15</v>
      </c>
      <c r="AE167" s="39">
        <f>G167*0.61025</f>
        <v>0</v>
      </c>
      <c r="AF167" s="39">
        <f>G167*(1-0.61025)</f>
        <v>0</v>
      </c>
      <c r="AM167" s="39">
        <f>F167*AE167</f>
        <v>0</v>
      </c>
      <c r="AN167" s="39">
        <f>F167*AF167</f>
        <v>0</v>
      </c>
      <c r="AO167" s="40" t="s">
        <v>1561</v>
      </c>
      <c r="AP167" s="40" t="s">
        <v>1596</v>
      </c>
      <c r="AQ167" s="31" t="s">
        <v>1608</v>
      </c>
    </row>
    <row r="168" spans="4:6" ht="10.5" customHeight="1">
      <c r="D168" s="17" t="s">
        <v>1087</v>
      </c>
      <c r="F168" s="23">
        <v>72.1</v>
      </c>
    </row>
    <row r="169" spans="4:6" ht="10.5" customHeight="1">
      <c r="D169" s="17" t="s">
        <v>1088</v>
      </c>
      <c r="F169" s="23">
        <v>35.33</v>
      </c>
    </row>
    <row r="170" spans="4:6" ht="10.5" customHeight="1">
      <c r="D170" s="17" t="s">
        <v>1089</v>
      </c>
      <c r="F170" s="23">
        <v>62.84</v>
      </c>
    </row>
    <row r="171" spans="1:37" ht="12.75">
      <c r="A171" s="4"/>
      <c r="B171" s="14" t="s">
        <v>589</v>
      </c>
      <c r="C171" s="14" t="s">
        <v>70</v>
      </c>
      <c r="D171" s="104" t="s">
        <v>971</v>
      </c>
      <c r="E171" s="105"/>
      <c r="F171" s="105"/>
      <c r="G171" s="105"/>
      <c r="H171" s="42">
        <f>SUM(H172:H173)</f>
        <v>0</v>
      </c>
      <c r="I171" s="42">
        <f>SUM(I172:I173)</f>
        <v>0</v>
      </c>
      <c r="J171" s="42">
        <f>H171+I171</f>
        <v>0</v>
      </c>
      <c r="K171" s="31"/>
      <c r="L171" s="42">
        <f>SUM(L172:L173)</f>
        <v>0.20343</v>
      </c>
      <c r="M171" s="31"/>
      <c r="P171" s="42">
        <f>IF(Q171="PR",J171,SUM(O172:O173))</f>
        <v>0</v>
      </c>
      <c r="Q171" s="31" t="s">
        <v>1529</v>
      </c>
      <c r="R171" s="42">
        <f>IF(Q171="HS",H171,0)</f>
        <v>0</v>
      </c>
      <c r="S171" s="42">
        <f>IF(Q171="HS",I171-P171,0)</f>
        <v>0</v>
      </c>
      <c r="T171" s="42">
        <f>IF(Q171="PS",H171,0)</f>
        <v>0</v>
      </c>
      <c r="U171" s="42">
        <f>IF(Q171="PS",I171-P171,0)</f>
        <v>0</v>
      </c>
      <c r="V171" s="42">
        <f>IF(Q171="MP",H171,0)</f>
        <v>0</v>
      </c>
      <c r="W171" s="42">
        <f>IF(Q171="MP",I171-P171,0)</f>
        <v>0</v>
      </c>
      <c r="X171" s="42">
        <f>IF(Q171="OM",H171,0)</f>
        <v>0</v>
      </c>
      <c r="Y171" s="31" t="s">
        <v>589</v>
      </c>
      <c r="AI171" s="42">
        <f>SUM(Z172:Z173)</f>
        <v>0</v>
      </c>
      <c r="AJ171" s="42">
        <f>SUM(AA172:AA173)</f>
        <v>0</v>
      </c>
      <c r="AK171" s="42">
        <f>SUM(AB172:AB173)</f>
        <v>0</v>
      </c>
    </row>
    <row r="172" spans="1:43" ht="12.75">
      <c r="A172" s="5" t="s">
        <v>90</v>
      </c>
      <c r="B172" s="5" t="s">
        <v>589</v>
      </c>
      <c r="C172" s="5" t="s">
        <v>600</v>
      </c>
      <c r="D172" s="5" t="s">
        <v>972</v>
      </c>
      <c r="E172" s="5" t="s">
        <v>1494</v>
      </c>
      <c r="F172" s="22">
        <v>3</v>
      </c>
      <c r="G172" s="22">
        <v>0</v>
      </c>
      <c r="H172" s="22">
        <f>F172*AE172</f>
        <v>0</v>
      </c>
      <c r="I172" s="22">
        <f>J172-H172</f>
        <v>0</v>
      </c>
      <c r="J172" s="22">
        <f>F172*G172</f>
        <v>0</v>
      </c>
      <c r="K172" s="22">
        <v>0.05401</v>
      </c>
      <c r="L172" s="22">
        <f>F172*K172</f>
        <v>0.16203</v>
      </c>
      <c r="M172" s="35" t="s">
        <v>1523</v>
      </c>
      <c r="N172" s="35" t="s">
        <v>7</v>
      </c>
      <c r="O172" s="22">
        <f>IF(N172="5",I172,0)</f>
        <v>0</v>
      </c>
      <c r="Z172" s="22">
        <f>IF(AD172=0,J172,0)</f>
        <v>0</v>
      </c>
      <c r="AA172" s="22">
        <f>IF(AD172=15,J172,0)</f>
        <v>0</v>
      </c>
      <c r="AB172" s="22">
        <f>IF(AD172=21,J172,0)</f>
        <v>0</v>
      </c>
      <c r="AD172" s="39">
        <v>15</v>
      </c>
      <c r="AE172" s="39">
        <f>G172*0.130146064908988</f>
        <v>0</v>
      </c>
      <c r="AF172" s="39">
        <f>G172*(1-0.130146064908988)</f>
        <v>0</v>
      </c>
      <c r="AM172" s="39">
        <f>F172*AE172</f>
        <v>0</v>
      </c>
      <c r="AN172" s="39">
        <f>F172*AF172</f>
        <v>0</v>
      </c>
      <c r="AO172" s="40" t="s">
        <v>1541</v>
      </c>
      <c r="AP172" s="40" t="s">
        <v>1596</v>
      </c>
      <c r="AQ172" s="31" t="s">
        <v>1608</v>
      </c>
    </row>
    <row r="173" spans="1:43" ht="12.75">
      <c r="A173" s="6" t="s">
        <v>91</v>
      </c>
      <c r="B173" s="6" t="s">
        <v>589</v>
      </c>
      <c r="C173" s="6" t="s">
        <v>688</v>
      </c>
      <c r="D173" s="6" t="s">
        <v>1090</v>
      </c>
      <c r="E173" s="6" t="s">
        <v>1494</v>
      </c>
      <c r="F173" s="24">
        <v>3</v>
      </c>
      <c r="G173" s="24">
        <v>0</v>
      </c>
      <c r="H173" s="24">
        <f>F173*AE173</f>
        <v>0</v>
      </c>
      <c r="I173" s="24">
        <f>J173-H173</f>
        <v>0</v>
      </c>
      <c r="J173" s="24">
        <f>F173*G173</f>
        <v>0</v>
      </c>
      <c r="K173" s="24">
        <v>0.0138</v>
      </c>
      <c r="L173" s="24">
        <f>F173*K173</f>
        <v>0.0414</v>
      </c>
      <c r="M173" s="36" t="s">
        <v>1523</v>
      </c>
      <c r="N173" s="36" t="s">
        <v>1526</v>
      </c>
      <c r="O173" s="24">
        <f>IF(N173="5",I173,0)</f>
        <v>0</v>
      </c>
      <c r="Z173" s="24">
        <f>IF(AD173=0,J173,0)</f>
        <v>0</v>
      </c>
      <c r="AA173" s="24">
        <f>IF(AD173=15,J173,0)</f>
        <v>0</v>
      </c>
      <c r="AB173" s="24">
        <f>IF(AD173=21,J173,0)</f>
        <v>0</v>
      </c>
      <c r="AD173" s="39">
        <v>15</v>
      </c>
      <c r="AE173" s="39">
        <f>G173*1</f>
        <v>0</v>
      </c>
      <c r="AF173" s="39">
        <f>G173*(1-1)</f>
        <v>0</v>
      </c>
      <c r="AM173" s="39">
        <f>F173*AE173</f>
        <v>0</v>
      </c>
      <c r="AN173" s="39">
        <f>F173*AF173</f>
        <v>0</v>
      </c>
      <c r="AO173" s="40" t="s">
        <v>1541</v>
      </c>
      <c r="AP173" s="40" t="s">
        <v>1596</v>
      </c>
      <c r="AQ173" s="31" t="s">
        <v>1608</v>
      </c>
    </row>
    <row r="174" spans="1:37" ht="12.75">
      <c r="A174" s="4"/>
      <c r="B174" s="14" t="s">
        <v>589</v>
      </c>
      <c r="C174" s="14" t="s">
        <v>689</v>
      </c>
      <c r="D174" s="104" t="s">
        <v>1091</v>
      </c>
      <c r="E174" s="105"/>
      <c r="F174" s="105"/>
      <c r="G174" s="105"/>
      <c r="H174" s="42">
        <f>SUM(H175:H180)</f>
        <v>0</v>
      </c>
      <c r="I174" s="42">
        <f>SUM(I175:I180)</f>
        <v>0</v>
      </c>
      <c r="J174" s="42">
        <f>H174+I174</f>
        <v>0</v>
      </c>
      <c r="K174" s="31"/>
      <c r="L174" s="42">
        <f>SUM(L175:L180)</f>
        <v>0.0820968</v>
      </c>
      <c r="M174" s="31"/>
      <c r="P174" s="42">
        <f>IF(Q174="PR",J174,SUM(O175:O180))</f>
        <v>0</v>
      </c>
      <c r="Q174" s="31" t="s">
        <v>1530</v>
      </c>
      <c r="R174" s="42">
        <f>IF(Q174="HS",H174,0)</f>
        <v>0</v>
      </c>
      <c r="S174" s="42">
        <f>IF(Q174="HS",I174-P174,0)</f>
        <v>0</v>
      </c>
      <c r="T174" s="42">
        <f>IF(Q174="PS",H174,0)</f>
        <v>0</v>
      </c>
      <c r="U174" s="42">
        <f>IF(Q174="PS",I174-P174,0)</f>
        <v>0</v>
      </c>
      <c r="V174" s="42">
        <f>IF(Q174="MP",H174,0)</f>
        <v>0</v>
      </c>
      <c r="W174" s="42">
        <f>IF(Q174="MP",I174-P174,0)</f>
        <v>0</v>
      </c>
      <c r="X174" s="42">
        <f>IF(Q174="OM",H174,0)</f>
        <v>0</v>
      </c>
      <c r="Y174" s="31" t="s">
        <v>589</v>
      </c>
      <c r="AI174" s="42">
        <f>SUM(Z175:Z180)</f>
        <v>0</v>
      </c>
      <c r="AJ174" s="42">
        <f>SUM(AA175:AA180)</f>
        <v>0</v>
      </c>
      <c r="AK174" s="42">
        <f>SUM(AB175:AB180)</f>
        <v>0</v>
      </c>
    </row>
    <row r="175" spans="1:43" ht="12.75">
      <c r="A175" s="5" t="s">
        <v>92</v>
      </c>
      <c r="B175" s="5" t="s">
        <v>589</v>
      </c>
      <c r="C175" s="5" t="s">
        <v>690</v>
      </c>
      <c r="D175" s="5" t="s">
        <v>1092</v>
      </c>
      <c r="E175" s="5" t="s">
        <v>1493</v>
      </c>
      <c r="F175" s="22">
        <v>10.935</v>
      </c>
      <c r="G175" s="22">
        <v>0</v>
      </c>
      <c r="H175" s="22">
        <f>F175*AE175</f>
        <v>0</v>
      </c>
      <c r="I175" s="22">
        <f>J175-H175</f>
        <v>0</v>
      </c>
      <c r="J175" s="22">
        <f>F175*G175</f>
        <v>0</v>
      </c>
      <c r="K175" s="22">
        <v>0.00368</v>
      </c>
      <c r="L175" s="22">
        <f>F175*K175</f>
        <v>0.0402408</v>
      </c>
      <c r="M175" s="35" t="s">
        <v>1523</v>
      </c>
      <c r="N175" s="35" t="s">
        <v>7</v>
      </c>
      <c r="O175" s="22">
        <f>IF(N175="5",I175,0)</f>
        <v>0</v>
      </c>
      <c r="Z175" s="22">
        <f>IF(AD175=0,J175,0)</f>
        <v>0</v>
      </c>
      <c r="AA175" s="22">
        <f>IF(AD175=15,J175,0)</f>
        <v>0</v>
      </c>
      <c r="AB175" s="22">
        <f>IF(AD175=21,J175,0)</f>
        <v>0</v>
      </c>
      <c r="AD175" s="39">
        <v>15</v>
      </c>
      <c r="AE175" s="39">
        <f>G175*0.681042026050651</f>
        <v>0</v>
      </c>
      <c r="AF175" s="39">
        <f>G175*(1-0.681042026050651)</f>
        <v>0</v>
      </c>
      <c r="AM175" s="39">
        <f>F175*AE175</f>
        <v>0</v>
      </c>
      <c r="AN175" s="39">
        <f>F175*AF175</f>
        <v>0</v>
      </c>
      <c r="AO175" s="40" t="s">
        <v>1562</v>
      </c>
      <c r="AP175" s="40" t="s">
        <v>1597</v>
      </c>
      <c r="AQ175" s="31" t="s">
        <v>1608</v>
      </c>
    </row>
    <row r="176" ht="12.75">
      <c r="D176" s="18" t="s">
        <v>1093</v>
      </c>
    </row>
    <row r="177" spans="4:6" ht="10.5" customHeight="1">
      <c r="D177" s="17" t="s">
        <v>1094</v>
      </c>
      <c r="F177" s="23">
        <v>10.935</v>
      </c>
    </row>
    <row r="178" spans="1:43" ht="12.75">
      <c r="A178" s="5" t="s">
        <v>93</v>
      </c>
      <c r="B178" s="5" t="s">
        <v>589</v>
      </c>
      <c r="C178" s="5" t="s">
        <v>691</v>
      </c>
      <c r="D178" s="5" t="s">
        <v>1095</v>
      </c>
      <c r="E178" s="5" t="s">
        <v>1493</v>
      </c>
      <c r="F178" s="22">
        <v>6.54</v>
      </c>
      <c r="G178" s="22">
        <v>0</v>
      </c>
      <c r="H178" s="22">
        <f>F178*AE178</f>
        <v>0</v>
      </c>
      <c r="I178" s="22">
        <f>J178-H178</f>
        <v>0</v>
      </c>
      <c r="J178" s="22">
        <f>F178*G178</f>
        <v>0</v>
      </c>
      <c r="K178" s="22">
        <v>0.00272</v>
      </c>
      <c r="L178" s="22">
        <f>F178*K178</f>
        <v>0.0177888</v>
      </c>
      <c r="M178" s="35" t="s">
        <v>1523</v>
      </c>
      <c r="N178" s="35" t="s">
        <v>7</v>
      </c>
      <c r="O178" s="22">
        <f>IF(N178="5",I178,0)</f>
        <v>0</v>
      </c>
      <c r="Z178" s="22">
        <f>IF(AD178=0,J178,0)</f>
        <v>0</v>
      </c>
      <c r="AA178" s="22">
        <f>IF(AD178=15,J178,0)</f>
        <v>0</v>
      </c>
      <c r="AB178" s="22">
        <f>IF(AD178=21,J178,0)</f>
        <v>0</v>
      </c>
      <c r="AD178" s="39">
        <v>15</v>
      </c>
      <c r="AE178" s="39">
        <f>G178*0.85271012006861</f>
        <v>0</v>
      </c>
      <c r="AF178" s="39">
        <f>G178*(1-0.85271012006861)</f>
        <v>0</v>
      </c>
      <c r="AM178" s="39">
        <f>F178*AE178</f>
        <v>0</v>
      </c>
      <c r="AN178" s="39">
        <f>F178*AF178</f>
        <v>0</v>
      </c>
      <c r="AO178" s="40" t="s">
        <v>1562</v>
      </c>
      <c r="AP178" s="40" t="s">
        <v>1597</v>
      </c>
      <c r="AQ178" s="31" t="s">
        <v>1608</v>
      </c>
    </row>
    <row r="179" ht="12.75">
      <c r="D179" s="18" t="s">
        <v>1096</v>
      </c>
    </row>
    <row r="180" spans="1:43" ht="12.75">
      <c r="A180" s="5" t="s">
        <v>94</v>
      </c>
      <c r="B180" s="5" t="s">
        <v>589</v>
      </c>
      <c r="C180" s="5" t="s">
        <v>690</v>
      </c>
      <c r="D180" s="5" t="s">
        <v>1092</v>
      </c>
      <c r="E180" s="5" t="s">
        <v>1493</v>
      </c>
      <c r="F180" s="22">
        <v>6.54</v>
      </c>
      <c r="G180" s="22">
        <v>0</v>
      </c>
      <c r="H180" s="22">
        <f>F180*AE180</f>
        <v>0</v>
      </c>
      <c r="I180" s="22">
        <f>J180-H180</f>
        <v>0</v>
      </c>
      <c r="J180" s="22">
        <f>F180*G180</f>
        <v>0</v>
      </c>
      <c r="K180" s="22">
        <v>0.00368</v>
      </c>
      <c r="L180" s="22">
        <f>F180*K180</f>
        <v>0.0240672</v>
      </c>
      <c r="M180" s="35" t="s">
        <v>1523</v>
      </c>
      <c r="N180" s="35" t="s">
        <v>7</v>
      </c>
      <c r="O180" s="22">
        <f>IF(N180="5",I180,0)</f>
        <v>0</v>
      </c>
      <c r="Z180" s="22">
        <f>IF(AD180=0,J180,0)</f>
        <v>0</v>
      </c>
      <c r="AA180" s="22">
        <f>IF(AD180=15,J180,0)</f>
        <v>0</v>
      </c>
      <c r="AB180" s="22">
        <f>IF(AD180=21,J180,0)</f>
        <v>0</v>
      </c>
      <c r="AD180" s="39">
        <v>15</v>
      </c>
      <c r="AE180" s="39">
        <f>G180*0.681042026050651</f>
        <v>0</v>
      </c>
      <c r="AF180" s="39">
        <f>G180*(1-0.681042026050651)</f>
        <v>0</v>
      </c>
      <c r="AM180" s="39">
        <f>F180*AE180</f>
        <v>0</v>
      </c>
      <c r="AN180" s="39">
        <f>F180*AF180</f>
        <v>0</v>
      </c>
      <c r="AO180" s="40" t="s">
        <v>1562</v>
      </c>
      <c r="AP180" s="40" t="s">
        <v>1597</v>
      </c>
      <c r="AQ180" s="31" t="s">
        <v>1608</v>
      </c>
    </row>
    <row r="181" ht="12.75">
      <c r="D181" s="18" t="s">
        <v>1097</v>
      </c>
    </row>
    <row r="182" spans="1:37" ht="12.75">
      <c r="A182" s="4"/>
      <c r="B182" s="14" t="s">
        <v>589</v>
      </c>
      <c r="C182" s="14" t="s">
        <v>606</v>
      </c>
      <c r="D182" s="104" t="s">
        <v>978</v>
      </c>
      <c r="E182" s="105"/>
      <c r="F182" s="105"/>
      <c r="G182" s="105"/>
      <c r="H182" s="42">
        <f>SUM(H183:H186)</f>
        <v>0</v>
      </c>
      <c r="I182" s="42">
        <f>SUM(I183:I186)</f>
        <v>0</v>
      </c>
      <c r="J182" s="42">
        <f>H182+I182</f>
        <v>0</v>
      </c>
      <c r="K182" s="31"/>
      <c r="L182" s="42">
        <f>SUM(L183:L186)</f>
        <v>0.86987945</v>
      </c>
      <c r="M182" s="31"/>
      <c r="P182" s="42">
        <f>IF(Q182="PR",J182,SUM(O183:O186))</f>
        <v>0</v>
      </c>
      <c r="Q182" s="31" t="s">
        <v>1530</v>
      </c>
      <c r="R182" s="42">
        <f>IF(Q182="HS",H182,0)</f>
        <v>0</v>
      </c>
      <c r="S182" s="42">
        <f>IF(Q182="HS",I182-P182,0)</f>
        <v>0</v>
      </c>
      <c r="T182" s="42">
        <f>IF(Q182="PS",H182,0)</f>
        <v>0</v>
      </c>
      <c r="U182" s="42">
        <f>IF(Q182="PS",I182-P182,0)</f>
        <v>0</v>
      </c>
      <c r="V182" s="42">
        <f>IF(Q182="MP",H182,0)</f>
        <v>0</v>
      </c>
      <c r="W182" s="42">
        <f>IF(Q182="MP",I182-P182,0)</f>
        <v>0</v>
      </c>
      <c r="X182" s="42">
        <f>IF(Q182="OM",H182,0)</f>
        <v>0</v>
      </c>
      <c r="Y182" s="31" t="s">
        <v>589</v>
      </c>
      <c r="AI182" s="42">
        <f>SUM(Z183:Z186)</f>
        <v>0</v>
      </c>
      <c r="AJ182" s="42">
        <f>SUM(AA183:AA186)</f>
        <v>0</v>
      </c>
      <c r="AK182" s="42">
        <f>SUM(AB183:AB186)</f>
        <v>0</v>
      </c>
    </row>
    <row r="183" spans="1:43" ht="12.75">
      <c r="A183" s="5" t="s">
        <v>95</v>
      </c>
      <c r="B183" s="5" t="s">
        <v>589</v>
      </c>
      <c r="C183" s="5" t="s">
        <v>692</v>
      </c>
      <c r="D183" s="5" t="s">
        <v>1098</v>
      </c>
      <c r="E183" s="5" t="s">
        <v>1493</v>
      </c>
      <c r="F183" s="22">
        <v>189.31</v>
      </c>
      <c r="G183" s="22">
        <v>0</v>
      </c>
      <c r="H183" s="22">
        <f>F183*AE183</f>
        <v>0</v>
      </c>
      <c r="I183" s="22">
        <f>J183-H183</f>
        <v>0</v>
      </c>
      <c r="J183" s="22">
        <f>F183*G183</f>
        <v>0</v>
      </c>
      <c r="K183" s="22">
        <v>0.00443</v>
      </c>
      <c r="L183" s="22">
        <f>F183*K183</f>
        <v>0.8386433</v>
      </c>
      <c r="M183" s="35" t="s">
        <v>1523</v>
      </c>
      <c r="N183" s="35" t="s">
        <v>9</v>
      </c>
      <c r="O183" s="22">
        <f>IF(N183="5",I183,0)</f>
        <v>0</v>
      </c>
      <c r="Z183" s="22">
        <f>IF(AD183=0,J183,0)</f>
        <v>0</v>
      </c>
      <c r="AA183" s="22">
        <f>IF(AD183=15,J183,0)</f>
        <v>0</v>
      </c>
      <c r="AB183" s="22">
        <f>IF(AD183=21,J183,0)</f>
        <v>0</v>
      </c>
      <c r="AD183" s="39">
        <v>15</v>
      </c>
      <c r="AE183" s="39">
        <f>G183*0.734044007106738</f>
        <v>0</v>
      </c>
      <c r="AF183" s="39">
        <f>G183*(1-0.734044007106738)</f>
        <v>0</v>
      </c>
      <c r="AM183" s="39">
        <f>F183*AE183</f>
        <v>0</v>
      </c>
      <c r="AN183" s="39">
        <f>F183*AF183</f>
        <v>0</v>
      </c>
      <c r="AO183" s="40" t="s">
        <v>1542</v>
      </c>
      <c r="AP183" s="40" t="s">
        <v>1597</v>
      </c>
      <c r="AQ183" s="31" t="s">
        <v>1608</v>
      </c>
    </row>
    <row r="184" ht="12.75">
      <c r="D184" s="18" t="s">
        <v>1099</v>
      </c>
    </row>
    <row r="185" spans="4:6" ht="10.5" customHeight="1">
      <c r="D185" s="17" t="s">
        <v>1100</v>
      </c>
      <c r="F185" s="23">
        <v>189.31</v>
      </c>
    </row>
    <row r="186" spans="1:43" ht="12.75">
      <c r="A186" s="5" t="s">
        <v>96</v>
      </c>
      <c r="B186" s="5" t="s">
        <v>589</v>
      </c>
      <c r="C186" s="5" t="s">
        <v>693</v>
      </c>
      <c r="D186" s="5" t="s">
        <v>1101</v>
      </c>
      <c r="E186" s="5" t="s">
        <v>1493</v>
      </c>
      <c r="F186" s="22">
        <v>208.241</v>
      </c>
      <c r="G186" s="22">
        <v>0</v>
      </c>
      <c r="H186" s="22">
        <f>F186*AE186</f>
        <v>0</v>
      </c>
      <c r="I186" s="22">
        <f>J186-H186</f>
        <v>0</v>
      </c>
      <c r="J186" s="22">
        <f>F186*G186</f>
        <v>0</v>
      </c>
      <c r="K186" s="22">
        <v>0.00015</v>
      </c>
      <c r="L186" s="22">
        <f>F186*K186</f>
        <v>0.03123615</v>
      </c>
      <c r="M186" s="35" t="s">
        <v>1523</v>
      </c>
      <c r="N186" s="35" t="s">
        <v>7</v>
      </c>
      <c r="O186" s="22">
        <f>IF(N186="5",I186,0)</f>
        <v>0</v>
      </c>
      <c r="Z186" s="22">
        <f>IF(AD186=0,J186,0)</f>
        <v>0</v>
      </c>
      <c r="AA186" s="22">
        <f>IF(AD186=15,J186,0)</f>
        <v>0</v>
      </c>
      <c r="AB186" s="22">
        <f>IF(AD186=21,J186,0)</f>
        <v>0</v>
      </c>
      <c r="AD186" s="39">
        <v>15</v>
      </c>
      <c r="AE186" s="39">
        <f>G186*0.318322093953595</f>
        <v>0</v>
      </c>
      <c r="AF186" s="39">
        <f>G186*(1-0.318322093953595)</f>
        <v>0</v>
      </c>
      <c r="AM186" s="39">
        <f>F186*AE186</f>
        <v>0</v>
      </c>
      <c r="AN186" s="39">
        <f>F186*AF186</f>
        <v>0</v>
      </c>
      <c r="AO186" s="40" t="s">
        <v>1542</v>
      </c>
      <c r="AP186" s="40" t="s">
        <v>1597</v>
      </c>
      <c r="AQ186" s="31" t="s">
        <v>1608</v>
      </c>
    </row>
    <row r="187" spans="4:6" ht="10.5" customHeight="1">
      <c r="D187" s="17" t="s">
        <v>1102</v>
      </c>
      <c r="F187" s="23">
        <v>208.241</v>
      </c>
    </row>
    <row r="188" spans="1:37" ht="12.75">
      <c r="A188" s="4"/>
      <c r="B188" s="14" t="s">
        <v>589</v>
      </c>
      <c r="C188" s="14" t="s">
        <v>694</v>
      </c>
      <c r="D188" s="104" t="s">
        <v>1103</v>
      </c>
      <c r="E188" s="105"/>
      <c r="F188" s="105"/>
      <c r="G188" s="105"/>
      <c r="H188" s="42">
        <f>SUM(H189:H200)</f>
        <v>0</v>
      </c>
      <c r="I188" s="42">
        <f>SUM(I189:I200)</f>
        <v>0</v>
      </c>
      <c r="J188" s="42">
        <f>H188+I188</f>
        <v>0</v>
      </c>
      <c r="K188" s="31"/>
      <c r="L188" s="42">
        <f>SUM(L189:L200)</f>
        <v>0.03921000000000001</v>
      </c>
      <c r="M188" s="31"/>
      <c r="P188" s="42">
        <f>IF(Q188="PR",J188,SUM(O189:O200))</f>
        <v>0</v>
      </c>
      <c r="Q188" s="31" t="s">
        <v>1530</v>
      </c>
      <c r="R188" s="42">
        <f>IF(Q188="HS",H188,0)</f>
        <v>0</v>
      </c>
      <c r="S188" s="42">
        <f>IF(Q188="HS",I188-P188,0)</f>
        <v>0</v>
      </c>
      <c r="T188" s="42">
        <f>IF(Q188="PS",H188,0)</f>
        <v>0</v>
      </c>
      <c r="U188" s="42">
        <f>IF(Q188="PS",I188-P188,0)</f>
        <v>0</v>
      </c>
      <c r="V188" s="42">
        <f>IF(Q188="MP",H188,0)</f>
        <v>0</v>
      </c>
      <c r="W188" s="42">
        <f>IF(Q188="MP",I188-P188,0)</f>
        <v>0</v>
      </c>
      <c r="X188" s="42">
        <f>IF(Q188="OM",H188,0)</f>
        <v>0</v>
      </c>
      <c r="Y188" s="31" t="s">
        <v>589</v>
      </c>
      <c r="AI188" s="42">
        <f>SUM(Z189:Z200)</f>
        <v>0</v>
      </c>
      <c r="AJ188" s="42">
        <f>SUM(AA189:AA200)</f>
        <v>0</v>
      </c>
      <c r="AK188" s="42">
        <f>SUM(AB189:AB200)</f>
        <v>0</v>
      </c>
    </row>
    <row r="189" spans="1:43" ht="12.75">
      <c r="A189" s="5" t="s">
        <v>97</v>
      </c>
      <c r="B189" s="5" t="s">
        <v>589</v>
      </c>
      <c r="C189" s="5" t="s">
        <v>695</v>
      </c>
      <c r="D189" s="5" t="s">
        <v>1104</v>
      </c>
      <c r="E189" s="5" t="s">
        <v>1494</v>
      </c>
      <c r="F189" s="22">
        <v>3</v>
      </c>
      <c r="G189" s="22">
        <v>0</v>
      </c>
      <c r="H189" s="22">
        <f>F189*AE189</f>
        <v>0</v>
      </c>
      <c r="I189" s="22">
        <f>J189-H189</f>
        <v>0</v>
      </c>
      <c r="J189" s="22">
        <f>F189*G189</f>
        <v>0</v>
      </c>
      <c r="K189" s="22">
        <v>4E-05</v>
      </c>
      <c r="L189" s="22">
        <f>F189*K189</f>
        <v>0.00012000000000000002</v>
      </c>
      <c r="M189" s="35" t="s">
        <v>1523</v>
      </c>
      <c r="N189" s="35" t="s">
        <v>7</v>
      </c>
      <c r="O189" s="22">
        <f>IF(N189="5",I189,0)</f>
        <v>0</v>
      </c>
      <c r="Z189" s="22">
        <f>IF(AD189=0,J189,0)</f>
        <v>0</v>
      </c>
      <c r="AA189" s="22">
        <f>IF(AD189=15,J189,0)</f>
        <v>0</v>
      </c>
      <c r="AB189" s="22">
        <f>IF(AD189=21,J189,0)</f>
        <v>0</v>
      </c>
      <c r="AD189" s="39">
        <v>15</v>
      </c>
      <c r="AE189" s="39">
        <f>G189*0</f>
        <v>0</v>
      </c>
      <c r="AF189" s="39">
        <f>G189*(1-0)</f>
        <v>0</v>
      </c>
      <c r="AM189" s="39">
        <f>F189*AE189</f>
        <v>0</v>
      </c>
      <c r="AN189" s="39">
        <f>F189*AF189</f>
        <v>0</v>
      </c>
      <c r="AO189" s="40" t="s">
        <v>1563</v>
      </c>
      <c r="AP189" s="40" t="s">
        <v>1604</v>
      </c>
      <c r="AQ189" s="31" t="s">
        <v>1608</v>
      </c>
    </row>
    <row r="190" ht="12.75">
      <c r="D190" s="18" t="s">
        <v>1105</v>
      </c>
    </row>
    <row r="191" spans="1:43" ht="12.75">
      <c r="A191" s="5" t="s">
        <v>98</v>
      </c>
      <c r="B191" s="5" t="s">
        <v>589</v>
      </c>
      <c r="C191" s="5" t="s">
        <v>696</v>
      </c>
      <c r="D191" s="5" t="s">
        <v>1106</v>
      </c>
      <c r="E191" s="5" t="s">
        <v>1495</v>
      </c>
      <c r="F191" s="22">
        <v>12</v>
      </c>
      <c r="G191" s="22">
        <v>0</v>
      </c>
      <c r="H191" s="22">
        <f>F191*AE191</f>
        <v>0</v>
      </c>
      <c r="I191" s="22">
        <f>J191-H191</f>
        <v>0</v>
      </c>
      <c r="J191" s="22">
        <f>F191*G191</f>
        <v>0</v>
      </c>
      <c r="K191" s="22">
        <v>0</v>
      </c>
      <c r="L191" s="22">
        <f>F191*K191</f>
        <v>0</v>
      </c>
      <c r="M191" s="35" t="s">
        <v>1523</v>
      </c>
      <c r="N191" s="35" t="s">
        <v>7</v>
      </c>
      <c r="O191" s="22">
        <f>IF(N191="5",I191,0)</f>
        <v>0</v>
      </c>
      <c r="Z191" s="22">
        <f>IF(AD191=0,J191,0)</f>
        <v>0</v>
      </c>
      <c r="AA191" s="22">
        <f>IF(AD191=15,J191,0)</f>
        <v>0</v>
      </c>
      <c r="AB191" s="22">
        <f>IF(AD191=21,J191,0)</f>
        <v>0</v>
      </c>
      <c r="AD191" s="39">
        <v>15</v>
      </c>
      <c r="AE191" s="39">
        <f>G191*0.0247086247086247</f>
        <v>0</v>
      </c>
      <c r="AF191" s="39">
        <f>G191*(1-0.0247086247086247)</f>
        <v>0</v>
      </c>
      <c r="AM191" s="39">
        <f>F191*AE191</f>
        <v>0</v>
      </c>
      <c r="AN191" s="39">
        <f>F191*AF191</f>
        <v>0</v>
      </c>
      <c r="AO191" s="40" t="s">
        <v>1563</v>
      </c>
      <c r="AP191" s="40" t="s">
        <v>1604</v>
      </c>
      <c r="AQ191" s="31" t="s">
        <v>1608</v>
      </c>
    </row>
    <row r="192" spans="1:43" ht="12.75">
      <c r="A192" s="5" t="s">
        <v>99</v>
      </c>
      <c r="B192" s="5" t="s">
        <v>589</v>
      </c>
      <c r="C192" s="5" t="s">
        <v>697</v>
      </c>
      <c r="D192" s="5" t="s">
        <v>1107</v>
      </c>
      <c r="E192" s="5" t="s">
        <v>1494</v>
      </c>
      <c r="F192" s="22">
        <v>3</v>
      </c>
      <c r="G192" s="22">
        <v>0</v>
      </c>
      <c r="H192" s="22">
        <f>F192*AE192</f>
        <v>0</v>
      </c>
      <c r="I192" s="22">
        <f>J192-H192</f>
        <v>0</v>
      </c>
      <c r="J192" s="22">
        <f>F192*G192</f>
        <v>0</v>
      </c>
      <c r="K192" s="22">
        <v>2E-05</v>
      </c>
      <c r="L192" s="22">
        <f>F192*K192</f>
        <v>6.000000000000001E-05</v>
      </c>
      <c r="M192" s="35" t="s">
        <v>1523</v>
      </c>
      <c r="N192" s="35" t="s">
        <v>7</v>
      </c>
      <c r="O192" s="22">
        <f>IF(N192="5",I192,0)</f>
        <v>0</v>
      </c>
      <c r="Z192" s="22">
        <f>IF(AD192=0,J192,0)</f>
        <v>0</v>
      </c>
      <c r="AA192" s="22">
        <f>IF(AD192=15,J192,0)</f>
        <v>0</v>
      </c>
      <c r="AB192" s="22">
        <f>IF(AD192=21,J192,0)</f>
        <v>0</v>
      </c>
      <c r="AD192" s="39">
        <v>15</v>
      </c>
      <c r="AE192" s="39">
        <f>G192*0</f>
        <v>0</v>
      </c>
      <c r="AF192" s="39">
        <f>G192*(1-0)</f>
        <v>0</v>
      </c>
      <c r="AM192" s="39">
        <f>F192*AE192</f>
        <v>0</v>
      </c>
      <c r="AN192" s="39">
        <f>F192*AF192</f>
        <v>0</v>
      </c>
      <c r="AO192" s="40" t="s">
        <v>1563</v>
      </c>
      <c r="AP192" s="40" t="s">
        <v>1604</v>
      </c>
      <c r="AQ192" s="31" t="s">
        <v>1608</v>
      </c>
    </row>
    <row r="193" ht="12.75">
      <c r="D193" s="18" t="s">
        <v>1108</v>
      </c>
    </row>
    <row r="194" spans="1:43" ht="12.75">
      <c r="A194" s="6" t="s">
        <v>100</v>
      </c>
      <c r="B194" s="6" t="s">
        <v>589</v>
      </c>
      <c r="C194" s="6" t="s">
        <v>698</v>
      </c>
      <c r="D194" s="6" t="s">
        <v>1109</v>
      </c>
      <c r="E194" s="6" t="s">
        <v>1494</v>
      </c>
      <c r="F194" s="24">
        <v>6</v>
      </c>
      <c r="G194" s="24">
        <v>0</v>
      </c>
      <c r="H194" s="24">
        <f aca="true" t="shared" si="42" ref="H194:H200">F194*AE194</f>
        <v>0</v>
      </c>
      <c r="I194" s="24">
        <f aca="true" t="shared" si="43" ref="I194:I200">J194-H194</f>
        <v>0</v>
      </c>
      <c r="J194" s="24">
        <f aca="true" t="shared" si="44" ref="J194:J200">F194*G194</f>
        <v>0</v>
      </c>
      <c r="K194" s="24">
        <v>0.0003</v>
      </c>
      <c r="L194" s="24">
        <f aca="true" t="shared" si="45" ref="L194:L200">F194*K194</f>
        <v>0.0018</v>
      </c>
      <c r="M194" s="36" t="s">
        <v>1523</v>
      </c>
      <c r="N194" s="36" t="s">
        <v>1526</v>
      </c>
      <c r="O194" s="24">
        <f aca="true" t="shared" si="46" ref="O194:O200">IF(N194="5",I194,0)</f>
        <v>0</v>
      </c>
      <c r="Z194" s="24">
        <f aca="true" t="shared" si="47" ref="Z194:Z200">IF(AD194=0,J194,0)</f>
        <v>0</v>
      </c>
      <c r="AA194" s="24">
        <f aca="true" t="shared" si="48" ref="AA194:AA200">IF(AD194=15,J194,0)</f>
        <v>0</v>
      </c>
      <c r="AB194" s="24">
        <f aca="true" t="shared" si="49" ref="AB194:AB200">IF(AD194=21,J194,0)</f>
        <v>0</v>
      </c>
      <c r="AD194" s="39">
        <v>15</v>
      </c>
      <c r="AE194" s="39">
        <f aca="true" t="shared" si="50" ref="AE194:AE200">G194*1</f>
        <v>0</v>
      </c>
      <c r="AF194" s="39">
        <f aca="true" t="shared" si="51" ref="AF194:AF200">G194*(1-1)</f>
        <v>0</v>
      </c>
      <c r="AM194" s="39">
        <f aca="true" t="shared" si="52" ref="AM194:AM200">F194*AE194</f>
        <v>0</v>
      </c>
      <c r="AN194" s="39">
        <f aca="true" t="shared" si="53" ref="AN194:AN200">F194*AF194</f>
        <v>0</v>
      </c>
      <c r="AO194" s="40" t="s">
        <v>1563</v>
      </c>
      <c r="AP194" s="40" t="s">
        <v>1604</v>
      </c>
      <c r="AQ194" s="31" t="s">
        <v>1608</v>
      </c>
    </row>
    <row r="195" spans="1:43" ht="12.75">
      <c r="A195" s="6" t="s">
        <v>101</v>
      </c>
      <c r="B195" s="6" t="s">
        <v>589</v>
      </c>
      <c r="C195" s="6" t="s">
        <v>699</v>
      </c>
      <c r="D195" s="6" t="s">
        <v>1110</v>
      </c>
      <c r="E195" s="6" t="s">
        <v>1494</v>
      </c>
      <c r="F195" s="24">
        <v>30</v>
      </c>
      <c r="G195" s="24">
        <v>0</v>
      </c>
      <c r="H195" s="24">
        <f t="shared" si="42"/>
        <v>0</v>
      </c>
      <c r="I195" s="24">
        <f t="shared" si="43"/>
        <v>0</v>
      </c>
      <c r="J195" s="24">
        <f t="shared" si="44"/>
        <v>0</v>
      </c>
      <c r="K195" s="24">
        <v>0.00108</v>
      </c>
      <c r="L195" s="24">
        <f t="shared" si="45"/>
        <v>0.0324</v>
      </c>
      <c r="M195" s="36" t="s">
        <v>1523</v>
      </c>
      <c r="N195" s="36" t="s">
        <v>1526</v>
      </c>
      <c r="O195" s="24">
        <f t="shared" si="46"/>
        <v>0</v>
      </c>
      <c r="Z195" s="24">
        <f t="shared" si="47"/>
        <v>0</v>
      </c>
      <c r="AA195" s="24">
        <f t="shared" si="48"/>
        <v>0</v>
      </c>
      <c r="AB195" s="24">
        <f t="shared" si="49"/>
        <v>0</v>
      </c>
      <c r="AD195" s="39">
        <v>15</v>
      </c>
      <c r="AE195" s="39">
        <f t="shared" si="50"/>
        <v>0</v>
      </c>
      <c r="AF195" s="39">
        <f t="shared" si="51"/>
        <v>0</v>
      </c>
      <c r="AM195" s="39">
        <f t="shared" si="52"/>
        <v>0</v>
      </c>
      <c r="AN195" s="39">
        <f t="shared" si="53"/>
        <v>0</v>
      </c>
      <c r="AO195" s="40" t="s">
        <v>1563</v>
      </c>
      <c r="AP195" s="40" t="s">
        <v>1604</v>
      </c>
      <c r="AQ195" s="31" t="s">
        <v>1608</v>
      </c>
    </row>
    <row r="196" spans="1:43" ht="12.75">
      <c r="A196" s="6" t="s">
        <v>102</v>
      </c>
      <c r="B196" s="6" t="s">
        <v>589</v>
      </c>
      <c r="C196" s="6" t="s">
        <v>700</v>
      </c>
      <c r="D196" s="6" t="s">
        <v>1111</v>
      </c>
      <c r="E196" s="6" t="s">
        <v>1494</v>
      </c>
      <c r="F196" s="24">
        <v>12</v>
      </c>
      <c r="G196" s="24">
        <v>0</v>
      </c>
      <c r="H196" s="24">
        <f t="shared" si="42"/>
        <v>0</v>
      </c>
      <c r="I196" s="24">
        <f t="shared" si="43"/>
        <v>0</v>
      </c>
      <c r="J196" s="24">
        <f t="shared" si="44"/>
        <v>0</v>
      </c>
      <c r="K196" s="24">
        <v>8E-05</v>
      </c>
      <c r="L196" s="24">
        <f t="shared" si="45"/>
        <v>0.0009600000000000001</v>
      </c>
      <c r="M196" s="36" t="s">
        <v>1523</v>
      </c>
      <c r="N196" s="36" t="s">
        <v>1526</v>
      </c>
      <c r="O196" s="24">
        <f t="shared" si="46"/>
        <v>0</v>
      </c>
      <c r="Z196" s="24">
        <f t="shared" si="47"/>
        <v>0</v>
      </c>
      <c r="AA196" s="24">
        <f t="shared" si="48"/>
        <v>0</v>
      </c>
      <c r="AB196" s="24">
        <f t="shared" si="49"/>
        <v>0</v>
      </c>
      <c r="AD196" s="39">
        <v>15</v>
      </c>
      <c r="AE196" s="39">
        <f t="shared" si="50"/>
        <v>0</v>
      </c>
      <c r="AF196" s="39">
        <f t="shared" si="51"/>
        <v>0</v>
      </c>
      <c r="AM196" s="39">
        <f t="shared" si="52"/>
        <v>0</v>
      </c>
      <c r="AN196" s="39">
        <f t="shared" si="53"/>
        <v>0</v>
      </c>
      <c r="AO196" s="40" t="s">
        <v>1563</v>
      </c>
      <c r="AP196" s="40" t="s">
        <v>1604</v>
      </c>
      <c r="AQ196" s="31" t="s">
        <v>1608</v>
      </c>
    </row>
    <row r="197" spans="1:43" ht="12.75">
      <c r="A197" s="6" t="s">
        <v>103</v>
      </c>
      <c r="B197" s="6" t="s">
        <v>589</v>
      </c>
      <c r="C197" s="6" t="s">
        <v>701</v>
      </c>
      <c r="D197" s="6" t="s">
        <v>1112</v>
      </c>
      <c r="E197" s="6" t="s">
        <v>1494</v>
      </c>
      <c r="F197" s="24">
        <v>3</v>
      </c>
      <c r="G197" s="24">
        <v>0</v>
      </c>
      <c r="H197" s="24">
        <f t="shared" si="42"/>
        <v>0</v>
      </c>
      <c r="I197" s="24">
        <f t="shared" si="43"/>
        <v>0</v>
      </c>
      <c r="J197" s="24">
        <f t="shared" si="44"/>
        <v>0</v>
      </c>
      <c r="K197" s="24">
        <v>0.00025</v>
      </c>
      <c r="L197" s="24">
        <f t="shared" si="45"/>
        <v>0.00075</v>
      </c>
      <c r="M197" s="36" t="s">
        <v>1523</v>
      </c>
      <c r="N197" s="36" t="s">
        <v>1526</v>
      </c>
      <c r="O197" s="24">
        <f t="shared" si="46"/>
        <v>0</v>
      </c>
      <c r="Z197" s="24">
        <f t="shared" si="47"/>
        <v>0</v>
      </c>
      <c r="AA197" s="24">
        <f t="shared" si="48"/>
        <v>0</v>
      </c>
      <c r="AB197" s="24">
        <f t="shared" si="49"/>
        <v>0</v>
      </c>
      <c r="AD197" s="39">
        <v>15</v>
      </c>
      <c r="AE197" s="39">
        <f t="shared" si="50"/>
        <v>0</v>
      </c>
      <c r="AF197" s="39">
        <f t="shared" si="51"/>
        <v>0</v>
      </c>
      <c r="AM197" s="39">
        <f t="shared" si="52"/>
        <v>0</v>
      </c>
      <c r="AN197" s="39">
        <f t="shared" si="53"/>
        <v>0</v>
      </c>
      <c r="AO197" s="40" t="s">
        <v>1563</v>
      </c>
      <c r="AP197" s="40" t="s">
        <v>1604</v>
      </c>
      <c r="AQ197" s="31" t="s">
        <v>1608</v>
      </c>
    </row>
    <row r="198" spans="1:43" ht="12.75">
      <c r="A198" s="6" t="s">
        <v>104</v>
      </c>
      <c r="B198" s="6" t="s">
        <v>589</v>
      </c>
      <c r="C198" s="6" t="s">
        <v>702</v>
      </c>
      <c r="D198" s="6" t="s">
        <v>1113</v>
      </c>
      <c r="E198" s="6" t="s">
        <v>1494</v>
      </c>
      <c r="F198" s="24">
        <v>18</v>
      </c>
      <c r="G198" s="24">
        <v>0</v>
      </c>
      <c r="H198" s="24">
        <f t="shared" si="42"/>
        <v>0</v>
      </c>
      <c r="I198" s="24">
        <f t="shared" si="43"/>
        <v>0</v>
      </c>
      <c r="J198" s="24">
        <f t="shared" si="44"/>
        <v>0</v>
      </c>
      <c r="K198" s="24">
        <v>5E-05</v>
      </c>
      <c r="L198" s="24">
        <f t="shared" si="45"/>
        <v>0.0009000000000000001</v>
      </c>
      <c r="M198" s="36" t="s">
        <v>1523</v>
      </c>
      <c r="N198" s="36" t="s">
        <v>1526</v>
      </c>
      <c r="O198" s="24">
        <f t="shared" si="46"/>
        <v>0</v>
      </c>
      <c r="Z198" s="24">
        <f t="shared" si="47"/>
        <v>0</v>
      </c>
      <c r="AA198" s="24">
        <f t="shared" si="48"/>
        <v>0</v>
      </c>
      <c r="AB198" s="24">
        <f t="shared" si="49"/>
        <v>0</v>
      </c>
      <c r="AD198" s="39">
        <v>15</v>
      </c>
      <c r="AE198" s="39">
        <f t="shared" si="50"/>
        <v>0</v>
      </c>
      <c r="AF198" s="39">
        <f t="shared" si="51"/>
        <v>0</v>
      </c>
      <c r="AM198" s="39">
        <f t="shared" si="52"/>
        <v>0</v>
      </c>
      <c r="AN198" s="39">
        <f t="shared" si="53"/>
        <v>0</v>
      </c>
      <c r="AO198" s="40" t="s">
        <v>1563</v>
      </c>
      <c r="AP198" s="40" t="s">
        <v>1604</v>
      </c>
      <c r="AQ198" s="31" t="s">
        <v>1608</v>
      </c>
    </row>
    <row r="199" spans="1:43" ht="12.75">
      <c r="A199" s="6" t="s">
        <v>105</v>
      </c>
      <c r="B199" s="6" t="s">
        <v>589</v>
      </c>
      <c r="C199" s="6" t="s">
        <v>703</v>
      </c>
      <c r="D199" s="6" t="s">
        <v>1114</v>
      </c>
      <c r="E199" s="6" t="s">
        <v>1494</v>
      </c>
      <c r="F199" s="24">
        <v>12</v>
      </c>
      <c r="G199" s="24">
        <v>0</v>
      </c>
      <c r="H199" s="24">
        <f t="shared" si="42"/>
        <v>0</v>
      </c>
      <c r="I199" s="24">
        <f t="shared" si="43"/>
        <v>0</v>
      </c>
      <c r="J199" s="24">
        <f t="shared" si="44"/>
        <v>0</v>
      </c>
      <c r="K199" s="24">
        <v>5E-05</v>
      </c>
      <c r="L199" s="24">
        <f t="shared" si="45"/>
        <v>0.0006000000000000001</v>
      </c>
      <c r="M199" s="36" t="s">
        <v>1523</v>
      </c>
      <c r="N199" s="36" t="s">
        <v>1526</v>
      </c>
      <c r="O199" s="24">
        <f t="shared" si="46"/>
        <v>0</v>
      </c>
      <c r="Z199" s="24">
        <f t="shared" si="47"/>
        <v>0</v>
      </c>
      <c r="AA199" s="24">
        <f t="shared" si="48"/>
        <v>0</v>
      </c>
      <c r="AB199" s="24">
        <f t="shared" si="49"/>
        <v>0</v>
      </c>
      <c r="AD199" s="39">
        <v>15</v>
      </c>
      <c r="AE199" s="39">
        <f t="shared" si="50"/>
        <v>0</v>
      </c>
      <c r="AF199" s="39">
        <f t="shared" si="51"/>
        <v>0</v>
      </c>
      <c r="AM199" s="39">
        <f t="shared" si="52"/>
        <v>0</v>
      </c>
      <c r="AN199" s="39">
        <f t="shared" si="53"/>
        <v>0</v>
      </c>
      <c r="AO199" s="40" t="s">
        <v>1563</v>
      </c>
      <c r="AP199" s="40" t="s">
        <v>1604</v>
      </c>
      <c r="AQ199" s="31" t="s">
        <v>1608</v>
      </c>
    </row>
    <row r="200" spans="1:43" ht="12.75">
      <c r="A200" s="6" t="s">
        <v>106</v>
      </c>
      <c r="B200" s="6" t="s">
        <v>589</v>
      </c>
      <c r="C200" s="6" t="s">
        <v>704</v>
      </c>
      <c r="D200" s="6" t="s">
        <v>1115</v>
      </c>
      <c r="E200" s="6" t="s">
        <v>1494</v>
      </c>
      <c r="F200" s="24">
        <v>9</v>
      </c>
      <c r="G200" s="24">
        <v>0</v>
      </c>
      <c r="H200" s="24">
        <f t="shared" si="42"/>
        <v>0</v>
      </c>
      <c r="I200" s="24">
        <f t="shared" si="43"/>
        <v>0</v>
      </c>
      <c r="J200" s="24">
        <f t="shared" si="44"/>
        <v>0</v>
      </c>
      <c r="K200" s="24">
        <v>0.00018</v>
      </c>
      <c r="L200" s="24">
        <f t="shared" si="45"/>
        <v>0.0016200000000000001</v>
      </c>
      <c r="M200" s="36" t="s">
        <v>1523</v>
      </c>
      <c r="N200" s="36" t="s">
        <v>1526</v>
      </c>
      <c r="O200" s="24">
        <f t="shared" si="46"/>
        <v>0</v>
      </c>
      <c r="Z200" s="24">
        <f t="shared" si="47"/>
        <v>0</v>
      </c>
      <c r="AA200" s="24">
        <f t="shared" si="48"/>
        <v>0</v>
      </c>
      <c r="AB200" s="24">
        <f t="shared" si="49"/>
        <v>0</v>
      </c>
      <c r="AD200" s="39">
        <v>15</v>
      </c>
      <c r="AE200" s="39">
        <f t="shared" si="50"/>
        <v>0</v>
      </c>
      <c r="AF200" s="39">
        <f t="shared" si="51"/>
        <v>0</v>
      </c>
      <c r="AM200" s="39">
        <f t="shared" si="52"/>
        <v>0</v>
      </c>
      <c r="AN200" s="39">
        <f t="shared" si="53"/>
        <v>0</v>
      </c>
      <c r="AO200" s="40" t="s">
        <v>1563</v>
      </c>
      <c r="AP200" s="40" t="s">
        <v>1604</v>
      </c>
      <c r="AQ200" s="31" t="s">
        <v>1608</v>
      </c>
    </row>
    <row r="201" spans="1:37" ht="12.75">
      <c r="A201" s="4"/>
      <c r="B201" s="14" t="s">
        <v>589</v>
      </c>
      <c r="C201" s="14" t="s">
        <v>705</v>
      </c>
      <c r="D201" s="104" t="s">
        <v>1116</v>
      </c>
      <c r="E201" s="105"/>
      <c r="F201" s="105"/>
      <c r="G201" s="105"/>
      <c r="H201" s="42">
        <f>SUM(H202:H225)</f>
        <v>0</v>
      </c>
      <c r="I201" s="42">
        <f>SUM(I202:I225)</f>
        <v>0</v>
      </c>
      <c r="J201" s="42">
        <f>H201+I201</f>
        <v>0</v>
      </c>
      <c r="K201" s="31"/>
      <c r="L201" s="42">
        <f>SUM(L202:L225)</f>
        <v>0.11601</v>
      </c>
      <c r="M201" s="31"/>
      <c r="P201" s="42">
        <f>IF(Q201="PR",J201,SUM(O202:O225))</f>
        <v>0</v>
      </c>
      <c r="Q201" s="31" t="s">
        <v>1530</v>
      </c>
      <c r="R201" s="42">
        <f>IF(Q201="HS",H201,0)</f>
        <v>0</v>
      </c>
      <c r="S201" s="42">
        <f>IF(Q201="HS",I201-P201,0)</f>
        <v>0</v>
      </c>
      <c r="T201" s="42">
        <f>IF(Q201="PS",H201,0)</f>
        <v>0</v>
      </c>
      <c r="U201" s="42">
        <f>IF(Q201="PS",I201-P201,0)</f>
        <v>0</v>
      </c>
      <c r="V201" s="42">
        <f>IF(Q201="MP",H201,0)</f>
        <v>0</v>
      </c>
      <c r="W201" s="42">
        <f>IF(Q201="MP",I201-P201,0)</f>
        <v>0</v>
      </c>
      <c r="X201" s="42">
        <f>IF(Q201="OM",H201,0)</f>
        <v>0</v>
      </c>
      <c r="Y201" s="31" t="s">
        <v>589</v>
      </c>
      <c r="AI201" s="42">
        <f>SUM(Z202:Z225)</f>
        <v>0</v>
      </c>
      <c r="AJ201" s="42">
        <f>SUM(AA202:AA225)</f>
        <v>0</v>
      </c>
      <c r="AK201" s="42">
        <f>SUM(AB202:AB225)</f>
        <v>0</v>
      </c>
    </row>
    <row r="202" spans="1:43" ht="12.75">
      <c r="A202" s="6" t="s">
        <v>107</v>
      </c>
      <c r="B202" s="6" t="s">
        <v>589</v>
      </c>
      <c r="C202" s="6" t="s">
        <v>706</v>
      </c>
      <c r="D202" s="6" t="s">
        <v>1117</v>
      </c>
      <c r="E202" s="6" t="s">
        <v>1494</v>
      </c>
      <c r="F202" s="24">
        <v>6</v>
      </c>
      <c r="G202" s="24">
        <v>0</v>
      </c>
      <c r="H202" s="24">
        <f aca="true" t="shared" si="54" ref="H202:H219">F202*AE202</f>
        <v>0</v>
      </c>
      <c r="I202" s="24">
        <f aca="true" t="shared" si="55" ref="I202:I219">J202-H202</f>
        <v>0</v>
      </c>
      <c r="J202" s="24">
        <f aca="true" t="shared" si="56" ref="J202:J219">F202*G202</f>
        <v>0</v>
      </c>
      <c r="K202" s="24">
        <v>0.00023</v>
      </c>
      <c r="L202" s="24">
        <f aca="true" t="shared" si="57" ref="L202:L219">F202*K202</f>
        <v>0.0013800000000000002</v>
      </c>
      <c r="M202" s="36" t="s">
        <v>1523</v>
      </c>
      <c r="N202" s="36" t="s">
        <v>1526</v>
      </c>
      <c r="O202" s="24">
        <f aca="true" t="shared" si="58" ref="O202:O219">IF(N202="5",I202,0)</f>
        <v>0</v>
      </c>
      <c r="Z202" s="24">
        <f aca="true" t="shared" si="59" ref="Z202:Z219">IF(AD202=0,J202,0)</f>
        <v>0</v>
      </c>
      <c r="AA202" s="24">
        <f aca="true" t="shared" si="60" ref="AA202:AA219">IF(AD202=15,J202,0)</f>
        <v>0</v>
      </c>
      <c r="AB202" s="24">
        <f aca="true" t="shared" si="61" ref="AB202:AB219">IF(AD202=21,J202,0)</f>
        <v>0</v>
      </c>
      <c r="AD202" s="39">
        <v>15</v>
      </c>
      <c r="AE202" s="39">
        <f aca="true" t="shared" si="62" ref="AE202:AE211">G202*1</f>
        <v>0</v>
      </c>
      <c r="AF202" s="39">
        <f aca="true" t="shared" si="63" ref="AF202:AF211">G202*(1-1)</f>
        <v>0</v>
      </c>
      <c r="AM202" s="39">
        <f aca="true" t="shared" si="64" ref="AM202:AM219">F202*AE202</f>
        <v>0</v>
      </c>
      <c r="AN202" s="39">
        <f aca="true" t="shared" si="65" ref="AN202:AN219">F202*AF202</f>
        <v>0</v>
      </c>
      <c r="AO202" s="40" t="s">
        <v>1564</v>
      </c>
      <c r="AP202" s="40" t="s">
        <v>1604</v>
      </c>
      <c r="AQ202" s="31" t="s">
        <v>1608</v>
      </c>
    </row>
    <row r="203" spans="1:43" ht="12.75">
      <c r="A203" s="6" t="s">
        <v>108</v>
      </c>
      <c r="B203" s="6" t="s">
        <v>589</v>
      </c>
      <c r="C203" s="6" t="s">
        <v>707</v>
      </c>
      <c r="D203" s="6" t="s">
        <v>1118</v>
      </c>
      <c r="E203" s="6" t="s">
        <v>1494</v>
      </c>
      <c r="F203" s="24">
        <v>3</v>
      </c>
      <c r="G203" s="24">
        <v>0</v>
      </c>
      <c r="H203" s="24">
        <f t="shared" si="54"/>
        <v>0</v>
      </c>
      <c r="I203" s="24">
        <f t="shared" si="55"/>
        <v>0</v>
      </c>
      <c r="J203" s="24">
        <f t="shared" si="56"/>
        <v>0</v>
      </c>
      <c r="K203" s="24">
        <v>0.00013</v>
      </c>
      <c r="L203" s="24">
        <f t="shared" si="57"/>
        <v>0.00038999999999999994</v>
      </c>
      <c r="M203" s="36" t="s">
        <v>1523</v>
      </c>
      <c r="N203" s="36" t="s">
        <v>1526</v>
      </c>
      <c r="O203" s="24">
        <f t="shared" si="58"/>
        <v>0</v>
      </c>
      <c r="Z203" s="24">
        <f t="shared" si="59"/>
        <v>0</v>
      </c>
      <c r="AA203" s="24">
        <f t="shared" si="60"/>
        <v>0</v>
      </c>
      <c r="AB203" s="24">
        <f t="shared" si="61"/>
        <v>0</v>
      </c>
      <c r="AD203" s="39">
        <v>15</v>
      </c>
      <c r="AE203" s="39">
        <f t="shared" si="62"/>
        <v>0</v>
      </c>
      <c r="AF203" s="39">
        <f t="shared" si="63"/>
        <v>0</v>
      </c>
      <c r="AM203" s="39">
        <f t="shared" si="64"/>
        <v>0</v>
      </c>
      <c r="AN203" s="39">
        <f t="shared" si="65"/>
        <v>0</v>
      </c>
      <c r="AO203" s="40" t="s">
        <v>1564</v>
      </c>
      <c r="AP203" s="40" t="s">
        <v>1604</v>
      </c>
      <c r="AQ203" s="31" t="s">
        <v>1608</v>
      </c>
    </row>
    <row r="204" spans="1:43" ht="12.75">
      <c r="A204" s="6" t="s">
        <v>109</v>
      </c>
      <c r="B204" s="6" t="s">
        <v>589</v>
      </c>
      <c r="C204" s="6" t="s">
        <v>708</v>
      </c>
      <c r="D204" s="6" t="s">
        <v>1119</v>
      </c>
      <c r="E204" s="6" t="s">
        <v>1495</v>
      </c>
      <c r="F204" s="24">
        <v>42</v>
      </c>
      <c r="G204" s="24">
        <v>0</v>
      </c>
      <c r="H204" s="24">
        <f t="shared" si="54"/>
        <v>0</v>
      </c>
      <c r="I204" s="24">
        <f t="shared" si="55"/>
        <v>0</v>
      </c>
      <c r="J204" s="24">
        <f t="shared" si="56"/>
        <v>0</v>
      </c>
      <c r="K204" s="24">
        <v>0.00015</v>
      </c>
      <c r="L204" s="24">
        <f t="shared" si="57"/>
        <v>0.006299999999999999</v>
      </c>
      <c r="M204" s="36" t="s">
        <v>1523</v>
      </c>
      <c r="N204" s="36" t="s">
        <v>1526</v>
      </c>
      <c r="O204" s="24">
        <f t="shared" si="58"/>
        <v>0</v>
      </c>
      <c r="Z204" s="24">
        <f t="shared" si="59"/>
        <v>0</v>
      </c>
      <c r="AA204" s="24">
        <f t="shared" si="60"/>
        <v>0</v>
      </c>
      <c r="AB204" s="24">
        <f t="shared" si="61"/>
        <v>0</v>
      </c>
      <c r="AD204" s="39">
        <v>15</v>
      </c>
      <c r="AE204" s="39">
        <f t="shared" si="62"/>
        <v>0</v>
      </c>
      <c r="AF204" s="39">
        <f t="shared" si="63"/>
        <v>0</v>
      </c>
      <c r="AM204" s="39">
        <f t="shared" si="64"/>
        <v>0</v>
      </c>
      <c r="AN204" s="39">
        <f t="shared" si="65"/>
        <v>0</v>
      </c>
      <c r="AO204" s="40" t="s">
        <v>1564</v>
      </c>
      <c r="AP204" s="40" t="s">
        <v>1604</v>
      </c>
      <c r="AQ204" s="31" t="s">
        <v>1608</v>
      </c>
    </row>
    <row r="205" spans="1:43" ht="12.75">
      <c r="A205" s="6" t="s">
        <v>110</v>
      </c>
      <c r="B205" s="6" t="s">
        <v>589</v>
      </c>
      <c r="C205" s="6" t="s">
        <v>708</v>
      </c>
      <c r="D205" s="6" t="s">
        <v>1119</v>
      </c>
      <c r="E205" s="6" t="s">
        <v>1495</v>
      </c>
      <c r="F205" s="24">
        <v>36</v>
      </c>
      <c r="G205" s="24">
        <v>0</v>
      </c>
      <c r="H205" s="24">
        <f t="shared" si="54"/>
        <v>0</v>
      </c>
      <c r="I205" s="24">
        <f t="shared" si="55"/>
        <v>0</v>
      </c>
      <c r="J205" s="24">
        <f t="shared" si="56"/>
        <v>0</v>
      </c>
      <c r="K205" s="24">
        <v>0.00015</v>
      </c>
      <c r="L205" s="24">
        <f t="shared" si="57"/>
        <v>0.005399999999999999</v>
      </c>
      <c r="M205" s="36" t="s">
        <v>1523</v>
      </c>
      <c r="N205" s="36" t="s">
        <v>1526</v>
      </c>
      <c r="O205" s="24">
        <f t="shared" si="58"/>
        <v>0</v>
      </c>
      <c r="Z205" s="24">
        <f t="shared" si="59"/>
        <v>0</v>
      </c>
      <c r="AA205" s="24">
        <f t="shared" si="60"/>
        <v>0</v>
      </c>
      <c r="AB205" s="24">
        <f t="shared" si="61"/>
        <v>0</v>
      </c>
      <c r="AD205" s="39">
        <v>15</v>
      </c>
      <c r="AE205" s="39">
        <f t="shared" si="62"/>
        <v>0</v>
      </c>
      <c r="AF205" s="39">
        <f t="shared" si="63"/>
        <v>0</v>
      </c>
      <c r="AM205" s="39">
        <f t="shared" si="64"/>
        <v>0</v>
      </c>
      <c r="AN205" s="39">
        <f t="shared" si="65"/>
        <v>0</v>
      </c>
      <c r="AO205" s="40" t="s">
        <v>1564</v>
      </c>
      <c r="AP205" s="40" t="s">
        <v>1604</v>
      </c>
      <c r="AQ205" s="31" t="s">
        <v>1608</v>
      </c>
    </row>
    <row r="206" spans="1:43" ht="12.75">
      <c r="A206" s="6" t="s">
        <v>111</v>
      </c>
      <c r="B206" s="6" t="s">
        <v>589</v>
      </c>
      <c r="C206" s="6" t="s">
        <v>709</v>
      </c>
      <c r="D206" s="6" t="s">
        <v>1120</v>
      </c>
      <c r="E206" s="6" t="s">
        <v>1495</v>
      </c>
      <c r="F206" s="24">
        <v>52</v>
      </c>
      <c r="G206" s="24">
        <v>0</v>
      </c>
      <c r="H206" s="24">
        <f t="shared" si="54"/>
        <v>0</v>
      </c>
      <c r="I206" s="24">
        <f t="shared" si="55"/>
        <v>0</v>
      </c>
      <c r="J206" s="24">
        <f t="shared" si="56"/>
        <v>0</v>
      </c>
      <c r="K206" s="24">
        <v>0.00029</v>
      </c>
      <c r="L206" s="24">
        <f t="shared" si="57"/>
        <v>0.01508</v>
      </c>
      <c r="M206" s="36" t="s">
        <v>1523</v>
      </c>
      <c r="N206" s="36" t="s">
        <v>1526</v>
      </c>
      <c r="O206" s="24">
        <f t="shared" si="58"/>
        <v>0</v>
      </c>
      <c r="Z206" s="24">
        <f t="shared" si="59"/>
        <v>0</v>
      </c>
      <c r="AA206" s="24">
        <f t="shared" si="60"/>
        <v>0</v>
      </c>
      <c r="AB206" s="24">
        <f t="shared" si="61"/>
        <v>0</v>
      </c>
      <c r="AD206" s="39">
        <v>15</v>
      </c>
      <c r="AE206" s="39">
        <f t="shared" si="62"/>
        <v>0</v>
      </c>
      <c r="AF206" s="39">
        <f t="shared" si="63"/>
        <v>0</v>
      </c>
      <c r="AM206" s="39">
        <f t="shared" si="64"/>
        <v>0</v>
      </c>
      <c r="AN206" s="39">
        <f t="shared" si="65"/>
        <v>0</v>
      </c>
      <c r="AO206" s="40" t="s">
        <v>1564</v>
      </c>
      <c r="AP206" s="40" t="s">
        <v>1604</v>
      </c>
      <c r="AQ206" s="31" t="s">
        <v>1608</v>
      </c>
    </row>
    <row r="207" spans="1:43" ht="12.75">
      <c r="A207" s="6" t="s">
        <v>112</v>
      </c>
      <c r="B207" s="6" t="s">
        <v>589</v>
      </c>
      <c r="C207" s="6" t="s">
        <v>710</v>
      </c>
      <c r="D207" s="6" t="s">
        <v>1121</v>
      </c>
      <c r="E207" s="6" t="s">
        <v>1495</v>
      </c>
      <c r="F207" s="24">
        <v>78</v>
      </c>
      <c r="G207" s="24">
        <v>0</v>
      </c>
      <c r="H207" s="24">
        <f t="shared" si="54"/>
        <v>0</v>
      </c>
      <c r="I207" s="24">
        <f t="shared" si="55"/>
        <v>0</v>
      </c>
      <c r="J207" s="24">
        <f t="shared" si="56"/>
        <v>0</v>
      </c>
      <c r="K207" s="24">
        <v>3E-05</v>
      </c>
      <c r="L207" s="24">
        <f t="shared" si="57"/>
        <v>0.00234</v>
      </c>
      <c r="M207" s="36" t="s">
        <v>1523</v>
      </c>
      <c r="N207" s="36" t="s">
        <v>1526</v>
      </c>
      <c r="O207" s="24">
        <f t="shared" si="58"/>
        <v>0</v>
      </c>
      <c r="Z207" s="24">
        <f t="shared" si="59"/>
        <v>0</v>
      </c>
      <c r="AA207" s="24">
        <f t="shared" si="60"/>
        <v>0</v>
      </c>
      <c r="AB207" s="24">
        <f t="shared" si="61"/>
        <v>0</v>
      </c>
      <c r="AD207" s="39">
        <v>15</v>
      </c>
      <c r="AE207" s="39">
        <f t="shared" si="62"/>
        <v>0</v>
      </c>
      <c r="AF207" s="39">
        <f t="shared" si="63"/>
        <v>0</v>
      </c>
      <c r="AM207" s="39">
        <f t="shared" si="64"/>
        <v>0</v>
      </c>
      <c r="AN207" s="39">
        <f t="shared" si="65"/>
        <v>0</v>
      </c>
      <c r="AO207" s="40" t="s">
        <v>1564</v>
      </c>
      <c r="AP207" s="40" t="s">
        <v>1604</v>
      </c>
      <c r="AQ207" s="31" t="s">
        <v>1608</v>
      </c>
    </row>
    <row r="208" spans="1:43" ht="12.75">
      <c r="A208" s="6" t="s">
        <v>113</v>
      </c>
      <c r="B208" s="6" t="s">
        <v>589</v>
      </c>
      <c r="C208" s="6" t="s">
        <v>711</v>
      </c>
      <c r="D208" s="6" t="s">
        <v>1122</v>
      </c>
      <c r="E208" s="6" t="s">
        <v>1495</v>
      </c>
      <c r="F208" s="24">
        <v>52</v>
      </c>
      <c r="G208" s="24">
        <v>0</v>
      </c>
      <c r="H208" s="24">
        <f t="shared" si="54"/>
        <v>0</v>
      </c>
      <c r="I208" s="24">
        <f t="shared" si="55"/>
        <v>0</v>
      </c>
      <c r="J208" s="24">
        <f t="shared" si="56"/>
        <v>0</v>
      </c>
      <c r="K208" s="24">
        <v>4E-05</v>
      </c>
      <c r="L208" s="24">
        <f t="shared" si="57"/>
        <v>0.0020800000000000003</v>
      </c>
      <c r="M208" s="36" t="s">
        <v>1523</v>
      </c>
      <c r="N208" s="36" t="s">
        <v>1526</v>
      </c>
      <c r="O208" s="24">
        <f t="shared" si="58"/>
        <v>0</v>
      </c>
      <c r="Z208" s="24">
        <f t="shared" si="59"/>
        <v>0</v>
      </c>
      <c r="AA208" s="24">
        <f t="shared" si="60"/>
        <v>0</v>
      </c>
      <c r="AB208" s="24">
        <f t="shared" si="61"/>
        <v>0</v>
      </c>
      <c r="AD208" s="39">
        <v>15</v>
      </c>
      <c r="AE208" s="39">
        <f t="shared" si="62"/>
        <v>0</v>
      </c>
      <c r="AF208" s="39">
        <f t="shared" si="63"/>
        <v>0</v>
      </c>
      <c r="AM208" s="39">
        <f t="shared" si="64"/>
        <v>0</v>
      </c>
      <c r="AN208" s="39">
        <f t="shared" si="65"/>
        <v>0</v>
      </c>
      <c r="AO208" s="40" t="s">
        <v>1564</v>
      </c>
      <c r="AP208" s="40" t="s">
        <v>1604</v>
      </c>
      <c r="AQ208" s="31" t="s">
        <v>1608</v>
      </c>
    </row>
    <row r="209" spans="1:43" ht="12.75">
      <c r="A209" s="6" t="s">
        <v>114</v>
      </c>
      <c r="B209" s="6" t="s">
        <v>589</v>
      </c>
      <c r="C209" s="6" t="s">
        <v>712</v>
      </c>
      <c r="D209" s="6" t="s">
        <v>1123</v>
      </c>
      <c r="E209" s="6" t="s">
        <v>1494</v>
      </c>
      <c r="F209" s="24">
        <v>3</v>
      </c>
      <c r="G209" s="24">
        <v>0</v>
      </c>
      <c r="H209" s="24">
        <f t="shared" si="54"/>
        <v>0</v>
      </c>
      <c r="I209" s="24">
        <f t="shared" si="55"/>
        <v>0</v>
      </c>
      <c r="J209" s="24">
        <f t="shared" si="56"/>
        <v>0</v>
      </c>
      <c r="K209" s="24">
        <v>1E-05</v>
      </c>
      <c r="L209" s="24">
        <f t="shared" si="57"/>
        <v>3.0000000000000004E-05</v>
      </c>
      <c r="M209" s="36" t="s">
        <v>1523</v>
      </c>
      <c r="N209" s="36" t="s">
        <v>1526</v>
      </c>
      <c r="O209" s="24">
        <f t="shared" si="58"/>
        <v>0</v>
      </c>
      <c r="Z209" s="24">
        <f t="shared" si="59"/>
        <v>0</v>
      </c>
      <c r="AA209" s="24">
        <f t="shared" si="60"/>
        <v>0</v>
      </c>
      <c r="AB209" s="24">
        <f t="shared" si="61"/>
        <v>0</v>
      </c>
      <c r="AD209" s="39">
        <v>15</v>
      </c>
      <c r="AE209" s="39">
        <f t="shared" si="62"/>
        <v>0</v>
      </c>
      <c r="AF209" s="39">
        <f t="shared" si="63"/>
        <v>0</v>
      </c>
      <c r="AM209" s="39">
        <f t="shared" si="64"/>
        <v>0</v>
      </c>
      <c r="AN209" s="39">
        <f t="shared" si="65"/>
        <v>0</v>
      </c>
      <c r="AO209" s="40" t="s">
        <v>1564</v>
      </c>
      <c r="AP209" s="40" t="s">
        <v>1604</v>
      </c>
      <c r="AQ209" s="31" t="s">
        <v>1608</v>
      </c>
    </row>
    <row r="210" spans="1:43" ht="12.75">
      <c r="A210" s="6" t="s">
        <v>115</v>
      </c>
      <c r="B210" s="6" t="s">
        <v>589</v>
      </c>
      <c r="C210" s="6" t="s">
        <v>713</v>
      </c>
      <c r="D210" s="6" t="s">
        <v>1124</v>
      </c>
      <c r="E210" s="6" t="s">
        <v>1494</v>
      </c>
      <c r="F210" s="24">
        <v>3</v>
      </c>
      <c r="G210" s="24">
        <v>0</v>
      </c>
      <c r="H210" s="24">
        <f t="shared" si="54"/>
        <v>0</v>
      </c>
      <c r="I210" s="24">
        <f t="shared" si="55"/>
        <v>0</v>
      </c>
      <c r="J210" s="24">
        <f t="shared" si="56"/>
        <v>0</v>
      </c>
      <c r="K210" s="24">
        <v>0.0004</v>
      </c>
      <c r="L210" s="24">
        <f t="shared" si="57"/>
        <v>0.0012000000000000001</v>
      </c>
      <c r="M210" s="36" t="s">
        <v>1523</v>
      </c>
      <c r="N210" s="36" t="s">
        <v>1526</v>
      </c>
      <c r="O210" s="24">
        <f t="shared" si="58"/>
        <v>0</v>
      </c>
      <c r="Z210" s="24">
        <f t="shared" si="59"/>
        <v>0</v>
      </c>
      <c r="AA210" s="24">
        <f t="shared" si="60"/>
        <v>0</v>
      </c>
      <c r="AB210" s="24">
        <f t="shared" si="61"/>
        <v>0</v>
      </c>
      <c r="AD210" s="39">
        <v>15</v>
      </c>
      <c r="AE210" s="39">
        <f t="shared" si="62"/>
        <v>0</v>
      </c>
      <c r="AF210" s="39">
        <f t="shared" si="63"/>
        <v>0</v>
      </c>
      <c r="AM210" s="39">
        <f t="shared" si="64"/>
        <v>0</v>
      </c>
      <c r="AN210" s="39">
        <f t="shared" si="65"/>
        <v>0</v>
      </c>
      <c r="AO210" s="40" t="s">
        <v>1564</v>
      </c>
      <c r="AP210" s="40" t="s">
        <v>1604</v>
      </c>
      <c r="AQ210" s="31" t="s">
        <v>1608</v>
      </c>
    </row>
    <row r="211" spans="1:43" ht="12.75">
      <c r="A211" s="6" t="s">
        <v>116</v>
      </c>
      <c r="B211" s="6" t="s">
        <v>589</v>
      </c>
      <c r="C211" s="6" t="s">
        <v>706</v>
      </c>
      <c r="D211" s="6" t="s">
        <v>1117</v>
      </c>
      <c r="E211" s="6" t="s">
        <v>1494</v>
      </c>
      <c r="F211" s="24">
        <v>3</v>
      </c>
      <c r="G211" s="24">
        <v>0</v>
      </c>
      <c r="H211" s="24">
        <f t="shared" si="54"/>
        <v>0</v>
      </c>
      <c r="I211" s="24">
        <f t="shared" si="55"/>
        <v>0</v>
      </c>
      <c r="J211" s="24">
        <f t="shared" si="56"/>
        <v>0</v>
      </c>
      <c r="K211" s="24">
        <v>0.00023</v>
      </c>
      <c r="L211" s="24">
        <f t="shared" si="57"/>
        <v>0.0006900000000000001</v>
      </c>
      <c r="M211" s="36" t="s">
        <v>1523</v>
      </c>
      <c r="N211" s="36" t="s">
        <v>1526</v>
      </c>
      <c r="O211" s="24">
        <f t="shared" si="58"/>
        <v>0</v>
      </c>
      <c r="Z211" s="24">
        <f t="shared" si="59"/>
        <v>0</v>
      </c>
      <c r="AA211" s="24">
        <f t="shared" si="60"/>
        <v>0</v>
      </c>
      <c r="AB211" s="24">
        <f t="shared" si="61"/>
        <v>0</v>
      </c>
      <c r="AD211" s="39">
        <v>15</v>
      </c>
      <c r="AE211" s="39">
        <f t="shared" si="62"/>
        <v>0</v>
      </c>
      <c r="AF211" s="39">
        <f t="shared" si="63"/>
        <v>0</v>
      </c>
      <c r="AM211" s="39">
        <f t="shared" si="64"/>
        <v>0</v>
      </c>
      <c r="AN211" s="39">
        <f t="shared" si="65"/>
        <v>0</v>
      </c>
      <c r="AO211" s="40" t="s">
        <v>1564</v>
      </c>
      <c r="AP211" s="40" t="s">
        <v>1604</v>
      </c>
      <c r="AQ211" s="31" t="s">
        <v>1608</v>
      </c>
    </row>
    <row r="212" spans="1:43" ht="12.75">
      <c r="A212" s="5" t="s">
        <v>117</v>
      </c>
      <c r="B212" s="5" t="s">
        <v>589</v>
      </c>
      <c r="C212" s="5" t="s">
        <v>714</v>
      </c>
      <c r="D212" s="5" t="s">
        <v>1125</v>
      </c>
      <c r="E212" s="5" t="s">
        <v>1494</v>
      </c>
      <c r="F212" s="22">
        <v>6</v>
      </c>
      <c r="G212" s="22">
        <v>0</v>
      </c>
      <c r="H212" s="22">
        <f t="shared" si="54"/>
        <v>0</v>
      </c>
      <c r="I212" s="22">
        <f t="shared" si="55"/>
        <v>0</v>
      </c>
      <c r="J212" s="22">
        <f t="shared" si="56"/>
        <v>0</v>
      </c>
      <c r="K212" s="22">
        <v>0.00028</v>
      </c>
      <c r="L212" s="22">
        <f t="shared" si="57"/>
        <v>0.0016799999999999999</v>
      </c>
      <c r="M212" s="35" t="s">
        <v>1523</v>
      </c>
      <c r="N212" s="35" t="s">
        <v>7</v>
      </c>
      <c r="O212" s="22">
        <f t="shared" si="58"/>
        <v>0</v>
      </c>
      <c r="Z212" s="22">
        <f t="shared" si="59"/>
        <v>0</v>
      </c>
      <c r="AA212" s="22">
        <f t="shared" si="60"/>
        <v>0</v>
      </c>
      <c r="AB212" s="22">
        <f t="shared" si="61"/>
        <v>0</v>
      </c>
      <c r="AD212" s="39">
        <v>15</v>
      </c>
      <c r="AE212" s="39">
        <f>G212*0.809814814814815</f>
        <v>0</v>
      </c>
      <c r="AF212" s="39">
        <f>G212*(1-0.809814814814815)</f>
        <v>0</v>
      </c>
      <c r="AM212" s="39">
        <f t="shared" si="64"/>
        <v>0</v>
      </c>
      <c r="AN212" s="39">
        <f t="shared" si="65"/>
        <v>0</v>
      </c>
      <c r="AO212" s="40" t="s">
        <v>1564</v>
      </c>
      <c r="AP212" s="40" t="s">
        <v>1604</v>
      </c>
      <c r="AQ212" s="31" t="s">
        <v>1608</v>
      </c>
    </row>
    <row r="213" spans="1:43" ht="12.75">
      <c r="A213" s="6" t="s">
        <v>118</v>
      </c>
      <c r="B213" s="6" t="s">
        <v>589</v>
      </c>
      <c r="C213" s="6" t="s">
        <v>706</v>
      </c>
      <c r="D213" s="6" t="s">
        <v>1117</v>
      </c>
      <c r="E213" s="6" t="s">
        <v>1494</v>
      </c>
      <c r="F213" s="24">
        <v>3</v>
      </c>
      <c r="G213" s="24">
        <v>0</v>
      </c>
      <c r="H213" s="24">
        <f t="shared" si="54"/>
        <v>0</v>
      </c>
      <c r="I213" s="24">
        <f t="shared" si="55"/>
        <v>0</v>
      </c>
      <c r="J213" s="24">
        <f t="shared" si="56"/>
        <v>0</v>
      </c>
      <c r="K213" s="24">
        <v>0.00023</v>
      </c>
      <c r="L213" s="24">
        <f t="shared" si="57"/>
        <v>0.0006900000000000001</v>
      </c>
      <c r="M213" s="36" t="s">
        <v>1523</v>
      </c>
      <c r="N213" s="36" t="s">
        <v>1526</v>
      </c>
      <c r="O213" s="24">
        <f t="shared" si="58"/>
        <v>0</v>
      </c>
      <c r="Z213" s="24">
        <f t="shared" si="59"/>
        <v>0</v>
      </c>
      <c r="AA213" s="24">
        <f t="shared" si="60"/>
        <v>0</v>
      </c>
      <c r="AB213" s="24">
        <f t="shared" si="61"/>
        <v>0</v>
      </c>
      <c r="AD213" s="39">
        <v>15</v>
      </c>
      <c r="AE213" s="39">
        <f aca="true" t="shared" si="66" ref="AE213:AE218">G213*1</f>
        <v>0</v>
      </c>
      <c r="AF213" s="39">
        <f aca="true" t="shared" si="67" ref="AF213:AF218">G213*(1-1)</f>
        <v>0</v>
      </c>
      <c r="AM213" s="39">
        <f t="shared" si="64"/>
        <v>0</v>
      </c>
      <c r="AN213" s="39">
        <f t="shared" si="65"/>
        <v>0</v>
      </c>
      <c r="AO213" s="40" t="s">
        <v>1564</v>
      </c>
      <c r="AP213" s="40" t="s">
        <v>1604</v>
      </c>
      <c r="AQ213" s="31" t="s">
        <v>1608</v>
      </c>
    </row>
    <row r="214" spans="1:43" ht="12.75">
      <c r="A214" s="5" t="s">
        <v>119</v>
      </c>
      <c r="B214" s="5" t="s">
        <v>589</v>
      </c>
      <c r="C214" s="5" t="s">
        <v>715</v>
      </c>
      <c r="D214" s="5" t="s">
        <v>1126</v>
      </c>
      <c r="E214" s="5" t="s">
        <v>1494</v>
      </c>
      <c r="F214" s="22">
        <v>3</v>
      </c>
      <c r="G214" s="22">
        <v>0</v>
      </c>
      <c r="H214" s="22">
        <f t="shared" si="54"/>
        <v>0</v>
      </c>
      <c r="I214" s="22">
        <f t="shared" si="55"/>
        <v>0</v>
      </c>
      <c r="J214" s="22">
        <f t="shared" si="56"/>
        <v>0</v>
      </c>
      <c r="K214" s="22">
        <v>0.00017</v>
      </c>
      <c r="L214" s="22">
        <f t="shared" si="57"/>
        <v>0.00051</v>
      </c>
      <c r="M214" s="35" t="s">
        <v>1523</v>
      </c>
      <c r="N214" s="35" t="s">
        <v>7</v>
      </c>
      <c r="O214" s="22">
        <f t="shared" si="58"/>
        <v>0</v>
      </c>
      <c r="Z214" s="22">
        <f t="shared" si="59"/>
        <v>0</v>
      </c>
      <c r="AA214" s="22">
        <f t="shared" si="60"/>
        <v>0</v>
      </c>
      <c r="AB214" s="22">
        <f t="shared" si="61"/>
        <v>0</v>
      </c>
      <c r="AD214" s="39">
        <v>15</v>
      </c>
      <c r="AE214" s="39">
        <f t="shared" si="66"/>
        <v>0</v>
      </c>
      <c r="AF214" s="39">
        <f t="shared" si="67"/>
        <v>0</v>
      </c>
      <c r="AM214" s="39">
        <f t="shared" si="64"/>
        <v>0</v>
      </c>
      <c r="AN214" s="39">
        <f t="shared" si="65"/>
        <v>0</v>
      </c>
      <c r="AO214" s="40" t="s">
        <v>1564</v>
      </c>
      <c r="AP214" s="40" t="s">
        <v>1604</v>
      </c>
      <c r="AQ214" s="31" t="s">
        <v>1608</v>
      </c>
    </row>
    <row r="215" spans="1:43" ht="12.75">
      <c r="A215" s="6" t="s">
        <v>120</v>
      </c>
      <c r="B215" s="6" t="s">
        <v>589</v>
      </c>
      <c r="C215" s="6" t="s">
        <v>716</v>
      </c>
      <c r="D215" s="6" t="s">
        <v>1127</v>
      </c>
      <c r="E215" s="6" t="s">
        <v>1494</v>
      </c>
      <c r="F215" s="24">
        <v>3</v>
      </c>
      <c r="G215" s="24">
        <v>0</v>
      </c>
      <c r="H215" s="24">
        <f t="shared" si="54"/>
        <v>0</v>
      </c>
      <c r="I215" s="24">
        <f t="shared" si="55"/>
        <v>0</v>
      </c>
      <c r="J215" s="24">
        <f t="shared" si="56"/>
        <v>0</v>
      </c>
      <c r="K215" s="24">
        <v>0.00017</v>
      </c>
      <c r="L215" s="24">
        <f t="shared" si="57"/>
        <v>0.00051</v>
      </c>
      <c r="M215" s="36" t="s">
        <v>1523</v>
      </c>
      <c r="N215" s="36" t="s">
        <v>1526</v>
      </c>
      <c r="O215" s="24">
        <f t="shared" si="58"/>
        <v>0</v>
      </c>
      <c r="Z215" s="24">
        <f t="shared" si="59"/>
        <v>0</v>
      </c>
      <c r="AA215" s="24">
        <f t="shared" si="60"/>
        <v>0</v>
      </c>
      <c r="AB215" s="24">
        <f t="shared" si="61"/>
        <v>0</v>
      </c>
      <c r="AD215" s="39">
        <v>15</v>
      </c>
      <c r="AE215" s="39">
        <f t="shared" si="66"/>
        <v>0</v>
      </c>
      <c r="AF215" s="39">
        <f t="shared" si="67"/>
        <v>0</v>
      </c>
      <c r="AM215" s="39">
        <f t="shared" si="64"/>
        <v>0</v>
      </c>
      <c r="AN215" s="39">
        <f t="shared" si="65"/>
        <v>0</v>
      </c>
      <c r="AO215" s="40" t="s">
        <v>1564</v>
      </c>
      <c r="AP215" s="40" t="s">
        <v>1604</v>
      </c>
      <c r="AQ215" s="31" t="s">
        <v>1608</v>
      </c>
    </row>
    <row r="216" spans="1:43" ht="12.75">
      <c r="A216" s="6" t="s">
        <v>121</v>
      </c>
      <c r="B216" s="6" t="s">
        <v>589</v>
      </c>
      <c r="C216" s="6" t="s">
        <v>717</v>
      </c>
      <c r="D216" s="6" t="s">
        <v>1128</v>
      </c>
      <c r="E216" s="6" t="s">
        <v>1494</v>
      </c>
      <c r="F216" s="24">
        <v>3</v>
      </c>
      <c r="G216" s="24">
        <v>0</v>
      </c>
      <c r="H216" s="24">
        <f t="shared" si="54"/>
        <v>0</v>
      </c>
      <c r="I216" s="24">
        <f t="shared" si="55"/>
        <v>0</v>
      </c>
      <c r="J216" s="24">
        <f t="shared" si="56"/>
        <v>0</v>
      </c>
      <c r="K216" s="24">
        <v>0.00039</v>
      </c>
      <c r="L216" s="24">
        <f t="shared" si="57"/>
        <v>0.00117</v>
      </c>
      <c r="M216" s="36" t="s">
        <v>1523</v>
      </c>
      <c r="N216" s="36" t="s">
        <v>1526</v>
      </c>
      <c r="O216" s="24">
        <f t="shared" si="58"/>
        <v>0</v>
      </c>
      <c r="Z216" s="24">
        <f t="shared" si="59"/>
        <v>0</v>
      </c>
      <c r="AA216" s="24">
        <f t="shared" si="60"/>
        <v>0</v>
      </c>
      <c r="AB216" s="24">
        <f t="shared" si="61"/>
        <v>0</v>
      </c>
      <c r="AD216" s="39">
        <v>15</v>
      </c>
      <c r="AE216" s="39">
        <f t="shared" si="66"/>
        <v>0</v>
      </c>
      <c r="AF216" s="39">
        <f t="shared" si="67"/>
        <v>0</v>
      </c>
      <c r="AM216" s="39">
        <f t="shared" si="64"/>
        <v>0</v>
      </c>
      <c r="AN216" s="39">
        <f t="shared" si="65"/>
        <v>0</v>
      </c>
      <c r="AO216" s="40" t="s">
        <v>1564</v>
      </c>
      <c r="AP216" s="40" t="s">
        <v>1604</v>
      </c>
      <c r="AQ216" s="31" t="s">
        <v>1608</v>
      </c>
    </row>
    <row r="217" spans="1:43" ht="12.75">
      <c r="A217" s="6" t="s">
        <v>122</v>
      </c>
      <c r="B217" s="6" t="s">
        <v>589</v>
      </c>
      <c r="C217" s="6" t="s">
        <v>718</v>
      </c>
      <c r="D217" s="6" t="s">
        <v>1129</v>
      </c>
      <c r="E217" s="6" t="s">
        <v>1494</v>
      </c>
      <c r="F217" s="24">
        <v>3</v>
      </c>
      <c r="G217" s="24">
        <v>0</v>
      </c>
      <c r="H217" s="24">
        <f t="shared" si="54"/>
        <v>0</v>
      </c>
      <c r="I217" s="24">
        <f t="shared" si="55"/>
        <v>0</v>
      </c>
      <c r="J217" s="24">
        <f t="shared" si="56"/>
        <v>0</v>
      </c>
      <c r="K217" s="24">
        <v>0.00022</v>
      </c>
      <c r="L217" s="24">
        <f t="shared" si="57"/>
        <v>0.00066</v>
      </c>
      <c r="M217" s="36" t="s">
        <v>1523</v>
      </c>
      <c r="N217" s="36" t="s">
        <v>1526</v>
      </c>
      <c r="O217" s="24">
        <f t="shared" si="58"/>
        <v>0</v>
      </c>
      <c r="Z217" s="24">
        <f t="shared" si="59"/>
        <v>0</v>
      </c>
      <c r="AA217" s="24">
        <f t="shared" si="60"/>
        <v>0</v>
      </c>
      <c r="AB217" s="24">
        <f t="shared" si="61"/>
        <v>0</v>
      </c>
      <c r="AD217" s="39">
        <v>15</v>
      </c>
      <c r="AE217" s="39">
        <f t="shared" si="66"/>
        <v>0</v>
      </c>
      <c r="AF217" s="39">
        <f t="shared" si="67"/>
        <v>0</v>
      </c>
      <c r="AM217" s="39">
        <f t="shared" si="64"/>
        <v>0</v>
      </c>
      <c r="AN217" s="39">
        <f t="shared" si="65"/>
        <v>0</v>
      </c>
      <c r="AO217" s="40" t="s">
        <v>1564</v>
      </c>
      <c r="AP217" s="40" t="s">
        <v>1604</v>
      </c>
      <c r="AQ217" s="31" t="s">
        <v>1608</v>
      </c>
    </row>
    <row r="218" spans="1:43" ht="12.75">
      <c r="A218" s="5" t="s">
        <v>123</v>
      </c>
      <c r="B218" s="5" t="s">
        <v>589</v>
      </c>
      <c r="C218" s="5" t="s">
        <v>719</v>
      </c>
      <c r="D218" s="5" t="s">
        <v>1130</v>
      </c>
      <c r="E218" s="5" t="s">
        <v>1494</v>
      </c>
      <c r="F218" s="22">
        <v>3</v>
      </c>
      <c r="G218" s="22">
        <v>0</v>
      </c>
      <c r="H218" s="22">
        <f t="shared" si="54"/>
        <v>0</v>
      </c>
      <c r="I218" s="22">
        <f t="shared" si="55"/>
        <v>0</v>
      </c>
      <c r="J218" s="22">
        <f t="shared" si="56"/>
        <v>0</v>
      </c>
      <c r="K218" s="22">
        <v>0.0035</v>
      </c>
      <c r="L218" s="22">
        <f t="shared" si="57"/>
        <v>0.0105</v>
      </c>
      <c r="M218" s="35" t="s">
        <v>1523</v>
      </c>
      <c r="N218" s="35" t="s">
        <v>7</v>
      </c>
      <c r="O218" s="22">
        <f t="shared" si="58"/>
        <v>0</v>
      </c>
      <c r="Z218" s="22">
        <f t="shared" si="59"/>
        <v>0</v>
      </c>
      <c r="AA218" s="22">
        <f t="shared" si="60"/>
        <v>0</v>
      </c>
      <c r="AB218" s="22">
        <f t="shared" si="61"/>
        <v>0</v>
      </c>
      <c r="AD218" s="39">
        <v>15</v>
      </c>
      <c r="AE218" s="39">
        <f t="shared" si="66"/>
        <v>0</v>
      </c>
      <c r="AF218" s="39">
        <f t="shared" si="67"/>
        <v>0</v>
      </c>
      <c r="AM218" s="39">
        <f t="shared" si="64"/>
        <v>0</v>
      </c>
      <c r="AN218" s="39">
        <f t="shared" si="65"/>
        <v>0</v>
      </c>
      <c r="AO218" s="40" t="s">
        <v>1564</v>
      </c>
      <c r="AP218" s="40" t="s">
        <v>1604</v>
      </c>
      <c r="AQ218" s="31" t="s">
        <v>1608</v>
      </c>
    </row>
    <row r="219" spans="1:43" ht="12.75">
      <c r="A219" s="5" t="s">
        <v>124</v>
      </c>
      <c r="B219" s="5" t="s">
        <v>589</v>
      </c>
      <c r="C219" s="5" t="s">
        <v>720</v>
      </c>
      <c r="D219" s="5" t="s">
        <v>1131</v>
      </c>
      <c r="E219" s="5" t="s">
        <v>1495</v>
      </c>
      <c r="F219" s="22">
        <v>3</v>
      </c>
      <c r="G219" s="22">
        <v>0</v>
      </c>
      <c r="H219" s="22">
        <f t="shared" si="54"/>
        <v>0</v>
      </c>
      <c r="I219" s="22">
        <f t="shared" si="55"/>
        <v>0</v>
      </c>
      <c r="J219" s="22">
        <f t="shared" si="56"/>
        <v>0</v>
      </c>
      <c r="K219" s="22">
        <v>0</v>
      </c>
      <c r="L219" s="22">
        <f t="shared" si="57"/>
        <v>0</v>
      </c>
      <c r="M219" s="35" t="s">
        <v>1523</v>
      </c>
      <c r="N219" s="35" t="s">
        <v>8</v>
      </c>
      <c r="O219" s="22">
        <f t="shared" si="58"/>
        <v>0</v>
      </c>
      <c r="Z219" s="22">
        <f t="shared" si="59"/>
        <v>0</v>
      </c>
      <c r="AA219" s="22">
        <f t="shared" si="60"/>
        <v>0</v>
      </c>
      <c r="AB219" s="22">
        <f t="shared" si="61"/>
        <v>0</v>
      </c>
      <c r="AD219" s="39">
        <v>15</v>
      </c>
      <c r="AE219" s="39">
        <f>G219*0</f>
        <v>0</v>
      </c>
      <c r="AF219" s="39">
        <f>G219*(1-0)</f>
        <v>0</v>
      </c>
      <c r="AM219" s="39">
        <f t="shared" si="64"/>
        <v>0</v>
      </c>
      <c r="AN219" s="39">
        <f t="shared" si="65"/>
        <v>0</v>
      </c>
      <c r="AO219" s="40" t="s">
        <v>1564</v>
      </c>
      <c r="AP219" s="40" t="s">
        <v>1604</v>
      </c>
      <c r="AQ219" s="31" t="s">
        <v>1608</v>
      </c>
    </row>
    <row r="220" ht="12.75">
      <c r="D220" s="18" t="s">
        <v>1132</v>
      </c>
    </row>
    <row r="221" spans="1:43" ht="12.75">
      <c r="A221" s="5" t="s">
        <v>125</v>
      </c>
      <c r="B221" s="5" t="s">
        <v>589</v>
      </c>
      <c r="C221" s="5" t="s">
        <v>721</v>
      </c>
      <c r="D221" s="5" t="s">
        <v>1133</v>
      </c>
      <c r="E221" s="5" t="s">
        <v>1494</v>
      </c>
      <c r="F221" s="22">
        <v>3</v>
      </c>
      <c r="G221" s="22">
        <v>0</v>
      </c>
      <c r="H221" s="22">
        <f>F221*AE221</f>
        <v>0</v>
      </c>
      <c r="I221" s="22">
        <f>J221-H221</f>
        <v>0</v>
      </c>
      <c r="J221" s="22">
        <f>F221*G221</f>
        <v>0</v>
      </c>
      <c r="K221" s="22">
        <v>0</v>
      </c>
      <c r="L221" s="22">
        <f>F221*K221</f>
        <v>0</v>
      </c>
      <c r="M221" s="35" t="s">
        <v>1523</v>
      </c>
      <c r="N221" s="35" t="s">
        <v>8</v>
      </c>
      <c r="O221" s="22">
        <f>IF(N221="5",I221,0)</f>
        <v>0</v>
      </c>
      <c r="Z221" s="22">
        <f>IF(AD221=0,J221,0)</f>
        <v>0</v>
      </c>
      <c r="AA221" s="22">
        <f>IF(AD221=15,J221,0)</f>
        <v>0</v>
      </c>
      <c r="AB221" s="22">
        <f>IF(AD221=21,J221,0)</f>
        <v>0</v>
      </c>
      <c r="AD221" s="39">
        <v>15</v>
      </c>
      <c r="AE221" s="39">
        <f>G221*0</f>
        <v>0</v>
      </c>
      <c r="AF221" s="39">
        <f>G221*(1-0)</f>
        <v>0</v>
      </c>
      <c r="AM221" s="39">
        <f>F221*AE221</f>
        <v>0</v>
      </c>
      <c r="AN221" s="39">
        <f>F221*AF221</f>
        <v>0</v>
      </c>
      <c r="AO221" s="40" t="s">
        <v>1564</v>
      </c>
      <c r="AP221" s="40" t="s">
        <v>1604</v>
      </c>
      <c r="AQ221" s="31" t="s">
        <v>1608</v>
      </c>
    </row>
    <row r="222" spans="1:43" ht="12.75">
      <c r="A222" s="5" t="s">
        <v>126</v>
      </c>
      <c r="B222" s="5" t="s">
        <v>589</v>
      </c>
      <c r="C222" s="5" t="s">
        <v>722</v>
      </c>
      <c r="D222" s="5" t="s">
        <v>1134</v>
      </c>
      <c r="E222" s="5" t="s">
        <v>1494</v>
      </c>
      <c r="F222" s="22">
        <v>3</v>
      </c>
      <c r="G222" s="22">
        <v>0</v>
      </c>
      <c r="H222" s="22">
        <f>F222*AE222</f>
        <v>0</v>
      </c>
      <c r="I222" s="22">
        <f>J222-H222</f>
        <v>0</v>
      </c>
      <c r="J222" s="22">
        <f>F222*G222</f>
        <v>0</v>
      </c>
      <c r="K222" s="22">
        <v>0.01933</v>
      </c>
      <c r="L222" s="22">
        <f>F222*K222</f>
        <v>0.05799</v>
      </c>
      <c r="M222" s="35" t="s">
        <v>1523</v>
      </c>
      <c r="N222" s="35" t="s">
        <v>9</v>
      </c>
      <c r="O222" s="22">
        <f>IF(N222="5",I222,0)</f>
        <v>0</v>
      </c>
      <c r="Z222" s="22">
        <f>IF(AD222=0,J222,0)</f>
        <v>0</v>
      </c>
      <c r="AA222" s="22">
        <f>IF(AD222=15,J222,0)</f>
        <v>0</v>
      </c>
      <c r="AB222" s="22">
        <f>IF(AD222=21,J222,0)</f>
        <v>0</v>
      </c>
      <c r="AD222" s="39">
        <v>15</v>
      </c>
      <c r="AE222" s="39">
        <f>G222*0</f>
        <v>0</v>
      </c>
      <c r="AF222" s="39">
        <f>G222*(1-0)</f>
        <v>0</v>
      </c>
      <c r="AM222" s="39">
        <f>F222*AE222</f>
        <v>0</v>
      </c>
      <c r="AN222" s="39">
        <f>F222*AF222</f>
        <v>0</v>
      </c>
      <c r="AO222" s="40" t="s">
        <v>1564</v>
      </c>
      <c r="AP222" s="40" t="s">
        <v>1604</v>
      </c>
      <c r="AQ222" s="31" t="s">
        <v>1608</v>
      </c>
    </row>
    <row r="223" ht="12.75">
      <c r="D223" s="18" t="s">
        <v>1135</v>
      </c>
    </row>
    <row r="224" spans="1:43" ht="12.75">
      <c r="A224" s="5" t="s">
        <v>127</v>
      </c>
      <c r="B224" s="5" t="s">
        <v>589</v>
      </c>
      <c r="C224" s="5" t="s">
        <v>723</v>
      </c>
      <c r="D224" s="5" t="s">
        <v>1136</v>
      </c>
      <c r="E224" s="5" t="s">
        <v>1494</v>
      </c>
      <c r="F224" s="22">
        <v>3</v>
      </c>
      <c r="G224" s="22">
        <v>0</v>
      </c>
      <c r="H224" s="22">
        <f>F224*AE224</f>
        <v>0</v>
      </c>
      <c r="I224" s="22">
        <f>J224-H224</f>
        <v>0</v>
      </c>
      <c r="J224" s="22">
        <f>F224*G224</f>
        <v>0</v>
      </c>
      <c r="K224" s="22">
        <v>0.00194</v>
      </c>
      <c r="L224" s="22">
        <f>F224*K224</f>
        <v>0.0058200000000000005</v>
      </c>
      <c r="M224" s="35" t="s">
        <v>1523</v>
      </c>
      <c r="N224" s="35" t="s">
        <v>7</v>
      </c>
      <c r="O224" s="22">
        <f>IF(N224="5",I224,0)</f>
        <v>0</v>
      </c>
      <c r="Z224" s="22">
        <f>IF(AD224=0,J224,0)</f>
        <v>0</v>
      </c>
      <c r="AA224" s="22">
        <f>IF(AD224=15,J224,0)</f>
        <v>0</v>
      </c>
      <c r="AB224" s="22">
        <f>IF(AD224=21,J224,0)</f>
        <v>0</v>
      </c>
      <c r="AD224" s="39">
        <v>15</v>
      </c>
      <c r="AE224" s="39">
        <f>G224*0.490293542074364</f>
        <v>0</v>
      </c>
      <c r="AF224" s="39">
        <f>G224*(1-0.490293542074364)</f>
        <v>0</v>
      </c>
      <c r="AM224" s="39">
        <f>F224*AE224</f>
        <v>0</v>
      </c>
      <c r="AN224" s="39">
        <f>F224*AF224</f>
        <v>0</v>
      </c>
      <c r="AO224" s="40" t="s">
        <v>1564</v>
      </c>
      <c r="AP224" s="40" t="s">
        <v>1604</v>
      </c>
      <c r="AQ224" s="31" t="s">
        <v>1608</v>
      </c>
    </row>
    <row r="225" spans="1:43" ht="12.75">
      <c r="A225" s="6" t="s">
        <v>128</v>
      </c>
      <c r="B225" s="6" t="s">
        <v>589</v>
      </c>
      <c r="C225" s="6" t="s">
        <v>724</v>
      </c>
      <c r="D225" s="6" t="s">
        <v>1137</v>
      </c>
      <c r="E225" s="6" t="s">
        <v>1494</v>
      </c>
      <c r="F225" s="24">
        <v>3</v>
      </c>
      <c r="G225" s="24">
        <v>0</v>
      </c>
      <c r="H225" s="24">
        <f>F225*AE225</f>
        <v>0</v>
      </c>
      <c r="I225" s="24">
        <f>J225-H225</f>
        <v>0</v>
      </c>
      <c r="J225" s="24">
        <f>F225*G225</f>
        <v>0</v>
      </c>
      <c r="K225" s="24">
        <v>0.00053</v>
      </c>
      <c r="L225" s="24">
        <f>F225*K225</f>
        <v>0.0015899999999999998</v>
      </c>
      <c r="M225" s="36" t="s">
        <v>1523</v>
      </c>
      <c r="N225" s="36" t="s">
        <v>1526</v>
      </c>
      <c r="O225" s="24">
        <f>IF(N225="5",I225,0)</f>
        <v>0</v>
      </c>
      <c r="Z225" s="24">
        <f>IF(AD225=0,J225,0)</f>
        <v>0</v>
      </c>
      <c r="AA225" s="24">
        <f>IF(AD225=15,J225,0)</f>
        <v>0</v>
      </c>
      <c r="AB225" s="24">
        <f>IF(AD225=21,J225,0)</f>
        <v>0</v>
      </c>
      <c r="AD225" s="39">
        <v>15</v>
      </c>
      <c r="AE225" s="39">
        <f>G225*1</f>
        <v>0</v>
      </c>
      <c r="AF225" s="39">
        <f>G225*(1-1)</f>
        <v>0</v>
      </c>
      <c r="AM225" s="39">
        <f>F225*AE225</f>
        <v>0</v>
      </c>
      <c r="AN225" s="39">
        <f>F225*AF225</f>
        <v>0</v>
      </c>
      <c r="AO225" s="40" t="s">
        <v>1564</v>
      </c>
      <c r="AP225" s="40" t="s">
        <v>1604</v>
      </c>
      <c r="AQ225" s="31" t="s">
        <v>1608</v>
      </c>
    </row>
    <row r="226" spans="1:37" ht="12.75">
      <c r="A226" s="4"/>
      <c r="B226" s="14" t="s">
        <v>589</v>
      </c>
      <c r="C226" s="14" t="s">
        <v>725</v>
      </c>
      <c r="D226" s="104" t="s">
        <v>1138</v>
      </c>
      <c r="E226" s="105"/>
      <c r="F226" s="105"/>
      <c r="G226" s="105"/>
      <c r="H226" s="42">
        <f>SUM(H227:H257)</f>
        <v>0</v>
      </c>
      <c r="I226" s="42">
        <f>SUM(I227:I257)</f>
        <v>0</v>
      </c>
      <c r="J226" s="42">
        <f>H226+I226</f>
        <v>0</v>
      </c>
      <c r="K226" s="31"/>
      <c r="L226" s="42">
        <f>SUM(L227:L257)</f>
        <v>0.56715</v>
      </c>
      <c r="M226" s="31"/>
      <c r="P226" s="42">
        <f>IF(Q226="PR",J226,SUM(O227:O257))</f>
        <v>0</v>
      </c>
      <c r="Q226" s="31" t="s">
        <v>1530</v>
      </c>
      <c r="R226" s="42">
        <f>IF(Q226="HS",H226,0)</f>
        <v>0</v>
      </c>
      <c r="S226" s="42">
        <f>IF(Q226="HS",I226-P226,0)</f>
        <v>0</v>
      </c>
      <c r="T226" s="42">
        <f>IF(Q226="PS",H226,0)</f>
        <v>0</v>
      </c>
      <c r="U226" s="42">
        <f>IF(Q226="PS",I226-P226,0)</f>
        <v>0</v>
      </c>
      <c r="V226" s="42">
        <f>IF(Q226="MP",H226,0)</f>
        <v>0</v>
      </c>
      <c r="W226" s="42">
        <f>IF(Q226="MP",I226-P226,0)</f>
        <v>0</v>
      </c>
      <c r="X226" s="42">
        <f>IF(Q226="OM",H226,0)</f>
        <v>0</v>
      </c>
      <c r="Y226" s="31" t="s">
        <v>589</v>
      </c>
      <c r="AI226" s="42">
        <f>SUM(Z227:Z257)</f>
        <v>0</v>
      </c>
      <c r="AJ226" s="42">
        <f>SUM(AA227:AA257)</f>
        <v>0</v>
      </c>
      <c r="AK226" s="42">
        <f>SUM(AB227:AB257)</f>
        <v>0</v>
      </c>
    </row>
    <row r="227" spans="1:43" ht="12.75">
      <c r="A227" s="5" t="s">
        <v>129</v>
      </c>
      <c r="B227" s="5" t="s">
        <v>589</v>
      </c>
      <c r="C227" s="5" t="s">
        <v>726</v>
      </c>
      <c r="D227" s="5" t="s">
        <v>1139</v>
      </c>
      <c r="E227" s="5" t="s">
        <v>1500</v>
      </c>
      <c r="F227" s="22">
        <v>3</v>
      </c>
      <c r="G227" s="22">
        <v>0</v>
      </c>
      <c r="H227" s="22">
        <f>F227*AE227</f>
        <v>0</v>
      </c>
      <c r="I227" s="22">
        <f>J227-H227</f>
        <v>0</v>
      </c>
      <c r="J227" s="22">
        <f>F227*G227</f>
        <v>0</v>
      </c>
      <c r="K227" s="22">
        <v>0.01651</v>
      </c>
      <c r="L227" s="22">
        <f>F227*K227</f>
        <v>0.049530000000000005</v>
      </c>
      <c r="M227" s="35" t="s">
        <v>1523</v>
      </c>
      <c r="N227" s="35" t="s">
        <v>7</v>
      </c>
      <c r="O227" s="22">
        <f>IF(N227="5",I227,0)</f>
        <v>0</v>
      </c>
      <c r="Z227" s="22">
        <f>IF(AD227=0,J227,0)</f>
        <v>0</v>
      </c>
      <c r="AA227" s="22">
        <f>IF(AD227=15,J227,0)</f>
        <v>0</v>
      </c>
      <c r="AB227" s="22">
        <f>IF(AD227=21,J227,0)</f>
        <v>0</v>
      </c>
      <c r="AD227" s="39">
        <v>15</v>
      </c>
      <c r="AE227" s="39">
        <f>G227*1</f>
        <v>0</v>
      </c>
      <c r="AF227" s="39">
        <f>G227*(1-1)</f>
        <v>0</v>
      </c>
      <c r="AM227" s="39">
        <f>F227*AE227</f>
        <v>0</v>
      </c>
      <c r="AN227" s="39">
        <f>F227*AF227</f>
        <v>0</v>
      </c>
      <c r="AO227" s="40" t="s">
        <v>1565</v>
      </c>
      <c r="AP227" s="40" t="s">
        <v>1604</v>
      </c>
      <c r="AQ227" s="31" t="s">
        <v>1608</v>
      </c>
    </row>
    <row r="228" spans="1:43" ht="12.75">
      <c r="A228" s="5" t="s">
        <v>130</v>
      </c>
      <c r="B228" s="5" t="s">
        <v>589</v>
      </c>
      <c r="C228" s="5" t="s">
        <v>727</v>
      </c>
      <c r="D228" s="5" t="s">
        <v>1140</v>
      </c>
      <c r="E228" s="5" t="s">
        <v>1494</v>
      </c>
      <c r="F228" s="22">
        <v>6</v>
      </c>
      <c r="G228" s="22">
        <v>0</v>
      </c>
      <c r="H228" s="22">
        <f>F228*AE228</f>
        <v>0</v>
      </c>
      <c r="I228" s="22">
        <f>J228-H228</f>
        <v>0</v>
      </c>
      <c r="J228" s="22">
        <f>F228*G228</f>
        <v>0</v>
      </c>
      <c r="K228" s="22">
        <v>0.00031</v>
      </c>
      <c r="L228" s="22">
        <f>F228*K228</f>
        <v>0.00186</v>
      </c>
      <c r="M228" s="35" t="s">
        <v>1523</v>
      </c>
      <c r="N228" s="35" t="s">
        <v>7</v>
      </c>
      <c r="O228" s="22">
        <f>IF(N228="5",I228,0)</f>
        <v>0</v>
      </c>
      <c r="Z228" s="22">
        <f>IF(AD228=0,J228,0)</f>
        <v>0</v>
      </c>
      <c r="AA228" s="22">
        <f>IF(AD228=15,J228,0)</f>
        <v>0</v>
      </c>
      <c r="AB228" s="22">
        <f>IF(AD228=21,J228,0)</f>
        <v>0</v>
      </c>
      <c r="AD228" s="39">
        <v>15</v>
      </c>
      <c r="AE228" s="39">
        <f>G228*1</f>
        <v>0</v>
      </c>
      <c r="AF228" s="39">
        <f>G228*(1-1)</f>
        <v>0</v>
      </c>
      <c r="AM228" s="39">
        <f>F228*AE228</f>
        <v>0</v>
      </c>
      <c r="AN228" s="39">
        <f>F228*AF228</f>
        <v>0</v>
      </c>
      <c r="AO228" s="40" t="s">
        <v>1565</v>
      </c>
      <c r="AP228" s="40" t="s">
        <v>1604</v>
      </c>
      <c r="AQ228" s="31" t="s">
        <v>1608</v>
      </c>
    </row>
    <row r="229" spans="1:43" ht="12.75">
      <c r="A229" s="5" t="s">
        <v>131</v>
      </c>
      <c r="B229" s="5" t="s">
        <v>589</v>
      </c>
      <c r="C229" s="5" t="s">
        <v>728</v>
      </c>
      <c r="D229" s="5" t="s">
        <v>1141</v>
      </c>
      <c r="E229" s="5" t="s">
        <v>1494</v>
      </c>
      <c r="F229" s="22">
        <v>3</v>
      </c>
      <c r="G229" s="22">
        <v>0</v>
      </c>
      <c r="H229" s="22">
        <f>F229*AE229</f>
        <v>0</v>
      </c>
      <c r="I229" s="22">
        <f>J229-H229</f>
        <v>0</v>
      </c>
      <c r="J229" s="22">
        <f>F229*G229</f>
        <v>0</v>
      </c>
      <c r="K229" s="22">
        <v>0.0013</v>
      </c>
      <c r="L229" s="22">
        <f>F229*K229</f>
        <v>0.0039</v>
      </c>
      <c r="M229" s="35" t="s">
        <v>1523</v>
      </c>
      <c r="N229" s="35" t="s">
        <v>7</v>
      </c>
      <c r="O229" s="22">
        <f>IF(N229="5",I229,0)</f>
        <v>0</v>
      </c>
      <c r="Z229" s="22">
        <f>IF(AD229=0,J229,0)</f>
        <v>0</v>
      </c>
      <c r="AA229" s="22">
        <f>IF(AD229=15,J229,0)</f>
        <v>0</v>
      </c>
      <c r="AB229" s="22">
        <f>IF(AD229=21,J229,0)</f>
        <v>0</v>
      </c>
      <c r="AD229" s="39">
        <v>15</v>
      </c>
      <c r="AE229" s="39">
        <f>G229*1</f>
        <v>0</v>
      </c>
      <c r="AF229" s="39">
        <f>G229*(1-1)</f>
        <v>0</v>
      </c>
      <c r="AM229" s="39">
        <f>F229*AE229</f>
        <v>0</v>
      </c>
      <c r="AN229" s="39">
        <f>F229*AF229</f>
        <v>0</v>
      </c>
      <c r="AO229" s="40" t="s">
        <v>1565</v>
      </c>
      <c r="AP229" s="40" t="s">
        <v>1604</v>
      </c>
      <c r="AQ229" s="31" t="s">
        <v>1608</v>
      </c>
    </row>
    <row r="230" ht="12.75">
      <c r="D230" s="18" t="s">
        <v>1142</v>
      </c>
    </row>
    <row r="231" spans="1:43" ht="12.75">
      <c r="A231" s="5" t="s">
        <v>132</v>
      </c>
      <c r="B231" s="5" t="s">
        <v>589</v>
      </c>
      <c r="C231" s="5" t="s">
        <v>729</v>
      </c>
      <c r="D231" s="5" t="s">
        <v>1143</v>
      </c>
      <c r="E231" s="5" t="s">
        <v>1494</v>
      </c>
      <c r="F231" s="22">
        <v>3</v>
      </c>
      <c r="G231" s="22">
        <v>0</v>
      </c>
      <c r="H231" s="22">
        <f>F231*AE231</f>
        <v>0</v>
      </c>
      <c r="I231" s="22">
        <f>J231-H231</f>
        <v>0</v>
      </c>
      <c r="J231" s="22">
        <f>F231*G231</f>
        <v>0</v>
      </c>
      <c r="K231" s="22">
        <v>0.001</v>
      </c>
      <c r="L231" s="22">
        <f>F231*K231</f>
        <v>0.003</v>
      </c>
      <c r="M231" s="35" t="s">
        <v>1523</v>
      </c>
      <c r="N231" s="35" t="s">
        <v>7</v>
      </c>
      <c r="O231" s="22">
        <f>IF(N231="5",I231,0)</f>
        <v>0</v>
      </c>
      <c r="Z231" s="22">
        <f>IF(AD231=0,J231,0)</f>
        <v>0</v>
      </c>
      <c r="AA231" s="22">
        <f>IF(AD231=15,J231,0)</f>
        <v>0</v>
      </c>
      <c r="AB231" s="22">
        <f>IF(AD231=21,J231,0)</f>
        <v>0</v>
      </c>
      <c r="AD231" s="39">
        <v>15</v>
      </c>
      <c r="AE231" s="39">
        <f>G231*1</f>
        <v>0</v>
      </c>
      <c r="AF231" s="39">
        <f>G231*(1-1)</f>
        <v>0</v>
      </c>
      <c r="AM231" s="39">
        <f>F231*AE231</f>
        <v>0</v>
      </c>
      <c r="AN231" s="39">
        <f>F231*AF231</f>
        <v>0</v>
      </c>
      <c r="AO231" s="40" t="s">
        <v>1565</v>
      </c>
      <c r="AP231" s="40" t="s">
        <v>1604</v>
      </c>
      <c r="AQ231" s="31" t="s">
        <v>1608</v>
      </c>
    </row>
    <row r="232" ht="12.75">
      <c r="D232" s="18" t="s">
        <v>1142</v>
      </c>
    </row>
    <row r="233" spans="1:43" ht="12.75">
      <c r="A233" s="5" t="s">
        <v>133</v>
      </c>
      <c r="B233" s="5" t="s">
        <v>589</v>
      </c>
      <c r="C233" s="5" t="s">
        <v>730</v>
      </c>
      <c r="D233" s="5" t="s">
        <v>1144</v>
      </c>
      <c r="E233" s="5" t="s">
        <v>1500</v>
      </c>
      <c r="F233" s="22">
        <v>21</v>
      </c>
      <c r="G233" s="22">
        <v>0</v>
      </c>
      <c r="H233" s="22">
        <f>F233*AE233</f>
        <v>0</v>
      </c>
      <c r="I233" s="22">
        <f>J233-H233</f>
        <v>0</v>
      </c>
      <c r="J233" s="22">
        <f>F233*G233</f>
        <v>0</v>
      </c>
      <c r="K233" s="22">
        <v>8E-05</v>
      </c>
      <c r="L233" s="22">
        <f>F233*K233</f>
        <v>0.00168</v>
      </c>
      <c r="M233" s="35" t="s">
        <v>1523</v>
      </c>
      <c r="N233" s="35" t="s">
        <v>7</v>
      </c>
      <c r="O233" s="22">
        <f>IF(N233="5",I233,0)</f>
        <v>0</v>
      </c>
      <c r="Z233" s="22">
        <f>IF(AD233=0,J233,0)</f>
        <v>0</v>
      </c>
      <c r="AA233" s="22">
        <f>IF(AD233=15,J233,0)</f>
        <v>0</v>
      </c>
      <c r="AB233" s="22">
        <f>IF(AD233=21,J233,0)</f>
        <v>0</v>
      </c>
      <c r="AD233" s="39">
        <v>15</v>
      </c>
      <c r="AE233" s="39">
        <f>G233*1</f>
        <v>0</v>
      </c>
      <c r="AF233" s="39">
        <f>G233*(1-1)</f>
        <v>0</v>
      </c>
      <c r="AM233" s="39">
        <f>F233*AE233</f>
        <v>0</v>
      </c>
      <c r="AN233" s="39">
        <f>F233*AF233</f>
        <v>0</v>
      </c>
      <c r="AO233" s="40" t="s">
        <v>1565</v>
      </c>
      <c r="AP233" s="40" t="s">
        <v>1604</v>
      </c>
      <c r="AQ233" s="31" t="s">
        <v>1608</v>
      </c>
    </row>
    <row r="234" spans="1:43" ht="12.75">
      <c r="A234" s="6" t="s">
        <v>134</v>
      </c>
      <c r="B234" s="6" t="s">
        <v>589</v>
      </c>
      <c r="C234" s="6" t="s">
        <v>731</v>
      </c>
      <c r="D234" s="6" t="s">
        <v>1145</v>
      </c>
      <c r="E234" s="6" t="s">
        <v>1494</v>
      </c>
      <c r="F234" s="24">
        <v>3</v>
      </c>
      <c r="G234" s="24">
        <v>0</v>
      </c>
      <c r="H234" s="24">
        <f>F234*AE234</f>
        <v>0</v>
      </c>
      <c r="I234" s="24">
        <f>J234-H234</f>
        <v>0</v>
      </c>
      <c r="J234" s="24">
        <f>F234*G234</f>
        <v>0</v>
      </c>
      <c r="K234" s="24">
        <v>0</v>
      </c>
      <c r="L234" s="24">
        <f>F234*K234</f>
        <v>0</v>
      </c>
      <c r="M234" s="36" t="s">
        <v>1523</v>
      </c>
      <c r="N234" s="36" t="s">
        <v>1526</v>
      </c>
      <c r="O234" s="24">
        <f>IF(N234="5",I234,0)</f>
        <v>0</v>
      </c>
      <c r="Z234" s="24">
        <f>IF(AD234=0,J234,0)</f>
        <v>0</v>
      </c>
      <c r="AA234" s="24">
        <f>IF(AD234=15,J234,0)</f>
        <v>0</v>
      </c>
      <c r="AB234" s="24">
        <f>IF(AD234=21,J234,0)</f>
        <v>0</v>
      </c>
      <c r="AD234" s="39">
        <v>15</v>
      </c>
      <c r="AE234" s="39">
        <f>G234*1</f>
        <v>0</v>
      </c>
      <c r="AF234" s="39">
        <f>G234*(1-1)</f>
        <v>0</v>
      </c>
      <c r="AM234" s="39">
        <f>F234*AE234</f>
        <v>0</v>
      </c>
      <c r="AN234" s="39">
        <f>F234*AF234</f>
        <v>0</v>
      </c>
      <c r="AO234" s="40" t="s">
        <v>1565</v>
      </c>
      <c r="AP234" s="40" t="s">
        <v>1604</v>
      </c>
      <c r="AQ234" s="31" t="s">
        <v>1608</v>
      </c>
    </row>
    <row r="235" spans="1:43" ht="12.75">
      <c r="A235" s="5" t="s">
        <v>135</v>
      </c>
      <c r="B235" s="5" t="s">
        <v>589</v>
      </c>
      <c r="C235" s="5" t="s">
        <v>732</v>
      </c>
      <c r="D235" s="5" t="s">
        <v>1146</v>
      </c>
      <c r="E235" s="5" t="s">
        <v>1494</v>
      </c>
      <c r="F235" s="22">
        <v>3</v>
      </c>
      <c r="G235" s="22">
        <v>0</v>
      </c>
      <c r="H235" s="22">
        <f>F235*AE235</f>
        <v>0</v>
      </c>
      <c r="I235" s="22">
        <f>J235-H235</f>
        <v>0</v>
      </c>
      <c r="J235" s="22">
        <f>F235*G235</f>
        <v>0</v>
      </c>
      <c r="K235" s="22">
        <v>0.00152</v>
      </c>
      <c r="L235" s="22">
        <f>F235*K235</f>
        <v>0.00456</v>
      </c>
      <c r="M235" s="35" t="s">
        <v>1523</v>
      </c>
      <c r="N235" s="35" t="s">
        <v>7</v>
      </c>
      <c r="O235" s="22">
        <f>IF(N235="5",I235,0)</f>
        <v>0</v>
      </c>
      <c r="Z235" s="22">
        <f>IF(AD235=0,J235,0)</f>
        <v>0</v>
      </c>
      <c r="AA235" s="22">
        <f>IF(AD235=15,J235,0)</f>
        <v>0</v>
      </c>
      <c r="AB235" s="22">
        <f>IF(AD235=21,J235,0)</f>
        <v>0</v>
      </c>
      <c r="AD235" s="39">
        <v>15</v>
      </c>
      <c r="AE235" s="39">
        <f>G235*0.889041009931603</f>
        <v>0</v>
      </c>
      <c r="AF235" s="39">
        <f>G235*(1-0.889041009931603)</f>
        <v>0</v>
      </c>
      <c r="AM235" s="39">
        <f>F235*AE235</f>
        <v>0</v>
      </c>
      <c r="AN235" s="39">
        <f>F235*AF235</f>
        <v>0</v>
      </c>
      <c r="AO235" s="40" t="s">
        <v>1565</v>
      </c>
      <c r="AP235" s="40" t="s">
        <v>1604</v>
      </c>
      <c r="AQ235" s="31" t="s">
        <v>1608</v>
      </c>
    </row>
    <row r="236" ht="12.75">
      <c r="D236" s="18" t="s">
        <v>1147</v>
      </c>
    </row>
    <row r="237" spans="1:43" ht="12.75">
      <c r="A237" s="5" t="s">
        <v>136</v>
      </c>
      <c r="B237" s="5" t="s">
        <v>589</v>
      </c>
      <c r="C237" s="5" t="s">
        <v>733</v>
      </c>
      <c r="D237" s="5" t="s">
        <v>1148</v>
      </c>
      <c r="E237" s="5" t="s">
        <v>1500</v>
      </c>
      <c r="F237" s="22">
        <v>3</v>
      </c>
      <c r="G237" s="22">
        <v>0</v>
      </c>
      <c r="H237" s="22">
        <f>F237*AE237</f>
        <v>0</v>
      </c>
      <c r="I237" s="22">
        <f>J237-H237</f>
        <v>0</v>
      </c>
      <c r="J237" s="22">
        <f>F237*G237</f>
        <v>0</v>
      </c>
      <c r="K237" s="22">
        <v>0.00062</v>
      </c>
      <c r="L237" s="22">
        <f>F237*K237</f>
        <v>0.00186</v>
      </c>
      <c r="M237" s="35" t="s">
        <v>1523</v>
      </c>
      <c r="N237" s="35" t="s">
        <v>7</v>
      </c>
      <c r="O237" s="22">
        <f>IF(N237="5",I237,0)</f>
        <v>0</v>
      </c>
      <c r="Z237" s="22">
        <f>IF(AD237=0,J237,0)</f>
        <v>0</v>
      </c>
      <c r="AA237" s="22">
        <f>IF(AD237=15,J237,0)</f>
        <v>0</v>
      </c>
      <c r="AB237" s="22">
        <f>IF(AD237=21,J237,0)</f>
        <v>0</v>
      </c>
      <c r="AD237" s="39">
        <v>15</v>
      </c>
      <c r="AE237" s="39">
        <f>G237*0.300113728675873</f>
        <v>0</v>
      </c>
      <c r="AF237" s="39">
        <f>G237*(1-0.300113728675873)</f>
        <v>0</v>
      </c>
      <c r="AM237" s="39">
        <f>F237*AE237</f>
        <v>0</v>
      </c>
      <c r="AN237" s="39">
        <f>F237*AF237</f>
        <v>0</v>
      </c>
      <c r="AO237" s="40" t="s">
        <v>1565</v>
      </c>
      <c r="AP237" s="40" t="s">
        <v>1604</v>
      </c>
      <c r="AQ237" s="31" t="s">
        <v>1608</v>
      </c>
    </row>
    <row r="238" spans="1:43" ht="12.75">
      <c r="A238" s="6" t="s">
        <v>137</v>
      </c>
      <c r="B238" s="6" t="s">
        <v>589</v>
      </c>
      <c r="C238" s="6" t="s">
        <v>734</v>
      </c>
      <c r="D238" s="6" t="s">
        <v>1149</v>
      </c>
      <c r="E238" s="6" t="s">
        <v>1494</v>
      </c>
      <c r="F238" s="24">
        <v>3</v>
      </c>
      <c r="G238" s="24">
        <v>0</v>
      </c>
      <c r="H238" s="24">
        <f>F238*AE238</f>
        <v>0</v>
      </c>
      <c r="I238" s="24">
        <f>J238-H238</f>
        <v>0</v>
      </c>
      <c r="J238" s="24">
        <f>F238*G238</f>
        <v>0</v>
      </c>
      <c r="K238" s="24">
        <v>0.03</v>
      </c>
      <c r="L238" s="24">
        <f>F238*K238</f>
        <v>0.09</v>
      </c>
      <c r="M238" s="36" t="s">
        <v>1523</v>
      </c>
      <c r="N238" s="36" t="s">
        <v>1526</v>
      </c>
      <c r="O238" s="24">
        <f>IF(N238="5",I238,0)</f>
        <v>0</v>
      </c>
      <c r="Z238" s="24">
        <f>IF(AD238=0,J238,0)</f>
        <v>0</v>
      </c>
      <c r="AA238" s="24">
        <f>IF(AD238=15,J238,0)</f>
        <v>0</v>
      </c>
      <c r="AB238" s="24">
        <f>IF(AD238=21,J238,0)</f>
        <v>0</v>
      </c>
      <c r="AD238" s="39">
        <v>15</v>
      </c>
      <c r="AE238" s="39">
        <f>G238*1</f>
        <v>0</v>
      </c>
      <c r="AF238" s="39">
        <f>G238*(1-1)</f>
        <v>0</v>
      </c>
      <c r="AM238" s="39">
        <f>F238*AE238</f>
        <v>0</v>
      </c>
      <c r="AN238" s="39">
        <f>F238*AF238</f>
        <v>0</v>
      </c>
      <c r="AO238" s="40" t="s">
        <v>1565</v>
      </c>
      <c r="AP238" s="40" t="s">
        <v>1604</v>
      </c>
      <c r="AQ238" s="31" t="s">
        <v>1608</v>
      </c>
    </row>
    <row r="239" spans="1:43" ht="12.75">
      <c r="A239" s="5" t="s">
        <v>138</v>
      </c>
      <c r="B239" s="5" t="s">
        <v>589</v>
      </c>
      <c r="C239" s="5" t="s">
        <v>735</v>
      </c>
      <c r="D239" s="5" t="s">
        <v>1150</v>
      </c>
      <c r="E239" s="5" t="s">
        <v>1500</v>
      </c>
      <c r="F239" s="22">
        <v>3</v>
      </c>
      <c r="G239" s="22">
        <v>0</v>
      </c>
      <c r="H239" s="22">
        <f>F239*AE239</f>
        <v>0</v>
      </c>
      <c r="I239" s="22">
        <f>J239-H239</f>
        <v>0</v>
      </c>
      <c r="J239" s="22">
        <f>F239*G239</f>
        <v>0</v>
      </c>
      <c r="K239" s="22">
        <v>0.00017</v>
      </c>
      <c r="L239" s="22">
        <f>F239*K239</f>
        <v>0.00051</v>
      </c>
      <c r="M239" s="35" t="s">
        <v>1523</v>
      </c>
      <c r="N239" s="35" t="s">
        <v>7</v>
      </c>
      <c r="O239" s="22">
        <f>IF(N239="5",I239,0)</f>
        <v>0</v>
      </c>
      <c r="Z239" s="22">
        <f>IF(AD239=0,J239,0)</f>
        <v>0</v>
      </c>
      <c r="AA239" s="22">
        <f>IF(AD239=15,J239,0)</f>
        <v>0</v>
      </c>
      <c r="AB239" s="22">
        <f>IF(AD239=21,J239,0)</f>
        <v>0</v>
      </c>
      <c r="AD239" s="39">
        <v>15</v>
      </c>
      <c r="AE239" s="39">
        <f>G239*0.0512043435340572</f>
        <v>0</v>
      </c>
      <c r="AF239" s="39">
        <f>G239*(1-0.0512043435340572)</f>
        <v>0</v>
      </c>
      <c r="AM239" s="39">
        <f>F239*AE239</f>
        <v>0</v>
      </c>
      <c r="AN239" s="39">
        <f>F239*AF239</f>
        <v>0</v>
      </c>
      <c r="AO239" s="40" t="s">
        <v>1565</v>
      </c>
      <c r="AP239" s="40" t="s">
        <v>1604</v>
      </c>
      <c r="AQ239" s="31" t="s">
        <v>1608</v>
      </c>
    </row>
    <row r="240" spans="1:43" ht="12.75">
      <c r="A240" s="6" t="s">
        <v>139</v>
      </c>
      <c r="B240" s="6" t="s">
        <v>589</v>
      </c>
      <c r="C240" s="6" t="s">
        <v>736</v>
      </c>
      <c r="D240" s="6" t="s">
        <v>1151</v>
      </c>
      <c r="E240" s="6" t="s">
        <v>1494</v>
      </c>
      <c r="F240" s="24">
        <v>3</v>
      </c>
      <c r="G240" s="24">
        <v>0</v>
      </c>
      <c r="H240" s="24">
        <f>F240*AE240</f>
        <v>0</v>
      </c>
      <c r="I240" s="24">
        <f>J240-H240</f>
        <v>0</v>
      </c>
      <c r="J240" s="24">
        <f>F240*G240</f>
        <v>0</v>
      </c>
      <c r="K240" s="24">
        <v>0.016</v>
      </c>
      <c r="L240" s="24">
        <f>F240*K240</f>
        <v>0.048</v>
      </c>
      <c r="M240" s="36" t="s">
        <v>1523</v>
      </c>
      <c r="N240" s="36" t="s">
        <v>1526</v>
      </c>
      <c r="O240" s="24">
        <f>IF(N240="5",I240,0)</f>
        <v>0</v>
      </c>
      <c r="Z240" s="24">
        <f>IF(AD240=0,J240,0)</f>
        <v>0</v>
      </c>
      <c r="AA240" s="24">
        <f>IF(AD240=15,J240,0)</f>
        <v>0</v>
      </c>
      <c r="AB240" s="24">
        <f>IF(AD240=21,J240,0)</f>
        <v>0</v>
      </c>
      <c r="AD240" s="39">
        <v>15</v>
      </c>
      <c r="AE240" s="39">
        <f>G240*1</f>
        <v>0</v>
      </c>
      <c r="AF240" s="39">
        <f>G240*(1-1)</f>
        <v>0</v>
      </c>
      <c r="AM240" s="39">
        <f>F240*AE240</f>
        <v>0</v>
      </c>
      <c r="AN240" s="39">
        <f>F240*AF240</f>
        <v>0</v>
      </c>
      <c r="AO240" s="40" t="s">
        <v>1565</v>
      </c>
      <c r="AP240" s="40" t="s">
        <v>1604</v>
      </c>
      <c r="AQ240" s="31" t="s">
        <v>1608</v>
      </c>
    </row>
    <row r="241" spans="1:43" ht="12.75">
      <c r="A241" s="5" t="s">
        <v>140</v>
      </c>
      <c r="B241" s="5" t="s">
        <v>589</v>
      </c>
      <c r="C241" s="5" t="s">
        <v>737</v>
      </c>
      <c r="D241" s="5" t="s">
        <v>1152</v>
      </c>
      <c r="E241" s="5" t="s">
        <v>1494</v>
      </c>
      <c r="F241" s="22">
        <v>3</v>
      </c>
      <c r="G241" s="22">
        <v>0</v>
      </c>
      <c r="H241" s="22">
        <f>F241*AE241</f>
        <v>0</v>
      </c>
      <c r="I241" s="22">
        <f>J241-H241</f>
        <v>0</v>
      </c>
      <c r="J241" s="22">
        <f>F241*G241</f>
        <v>0</v>
      </c>
      <c r="K241" s="22">
        <v>0.00037</v>
      </c>
      <c r="L241" s="22">
        <f>F241*K241</f>
        <v>0.0011099999999999999</v>
      </c>
      <c r="M241" s="35" t="s">
        <v>1523</v>
      </c>
      <c r="N241" s="35" t="s">
        <v>7</v>
      </c>
      <c r="O241" s="22">
        <f>IF(N241="5",I241,0)</f>
        <v>0</v>
      </c>
      <c r="Z241" s="22">
        <f>IF(AD241=0,J241,0)</f>
        <v>0</v>
      </c>
      <c r="AA241" s="22">
        <f>IF(AD241=15,J241,0)</f>
        <v>0</v>
      </c>
      <c r="AB241" s="22">
        <f>IF(AD241=21,J241,0)</f>
        <v>0</v>
      </c>
      <c r="AD241" s="39">
        <v>15</v>
      </c>
      <c r="AE241" s="39">
        <f>G241*0.87303738317757</f>
        <v>0</v>
      </c>
      <c r="AF241" s="39">
        <f>G241*(1-0.87303738317757)</f>
        <v>0</v>
      </c>
      <c r="AM241" s="39">
        <f>F241*AE241</f>
        <v>0</v>
      </c>
      <c r="AN241" s="39">
        <f>F241*AF241</f>
        <v>0</v>
      </c>
      <c r="AO241" s="40" t="s">
        <v>1565</v>
      </c>
      <c r="AP241" s="40" t="s">
        <v>1604</v>
      </c>
      <c r="AQ241" s="31" t="s">
        <v>1608</v>
      </c>
    </row>
    <row r="242" ht="12.75">
      <c r="D242" s="18" t="s">
        <v>1153</v>
      </c>
    </row>
    <row r="243" spans="1:43" ht="12.75">
      <c r="A243" s="6" t="s">
        <v>141</v>
      </c>
      <c r="B243" s="6" t="s">
        <v>589</v>
      </c>
      <c r="C243" s="6" t="s">
        <v>738</v>
      </c>
      <c r="D243" s="6" t="s">
        <v>1154</v>
      </c>
      <c r="E243" s="6" t="s">
        <v>1494</v>
      </c>
      <c r="F243" s="24">
        <v>3</v>
      </c>
      <c r="G243" s="24">
        <v>0</v>
      </c>
      <c r="H243" s="24">
        <f>F243*AE243</f>
        <v>0</v>
      </c>
      <c r="I243" s="24">
        <f>J243-H243</f>
        <v>0</v>
      </c>
      <c r="J243" s="24">
        <f>F243*G243</f>
        <v>0</v>
      </c>
      <c r="K243" s="24">
        <v>0.006</v>
      </c>
      <c r="L243" s="24">
        <f>F243*K243</f>
        <v>0.018000000000000002</v>
      </c>
      <c r="M243" s="36" t="s">
        <v>1523</v>
      </c>
      <c r="N243" s="36" t="s">
        <v>1526</v>
      </c>
      <c r="O243" s="24">
        <f>IF(N243="5",I243,0)</f>
        <v>0</v>
      </c>
      <c r="Z243" s="24">
        <f>IF(AD243=0,J243,0)</f>
        <v>0</v>
      </c>
      <c r="AA243" s="24">
        <f>IF(AD243=15,J243,0)</f>
        <v>0</v>
      </c>
      <c r="AB243" s="24">
        <f>IF(AD243=21,J243,0)</f>
        <v>0</v>
      </c>
      <c r="AD243" s="39">
        <v>15</v>
      </c>
      <c r="AE243" s="39">
        <f>G243*1</f>
        <v>0</v>
      </c>
      <c r="AF243" s="39">
        <f>G243*(1-1)</f>
        <v>0</v>
      </c>
      <c r="AM243" s="39">
        <f>F243*AE243</f>
        <v>0</v>
      </c>
      <c r="AN243" s="39">
        <f>F243*AF243</f>
        <v>0</v>
      </c>
      <c r="AO243" s="40" t="s">
        <v>1565</v>
      </c>
      <c r="AP243" s="40" t="s">
        <v>1604</v>
      </c>
      <c r="AQ243" s="31" t="s">
        <v>1608</v>
      </c>
    </row>
    <row r="244" spans="1:43" ht="12.75">
      <c r="A244" s="6" t="s">
        <v>142</v>
      </c>
      <c r="B244" s="6" t="s">
        <v>589</v>
      </c>
      <c r="C244" s="6" t="s">
        <v>739</v>
      </c>
      <c r="D244" s="6" t="s">
        <v>1155</v>
      </c>
      <c r="E244" s="6" t="s">
        <v>1494</v>
      </c>
      <c r="F244" s="24">
        <v>3</v>
      </c>
      <c r="G244" s="24">
        <v>0</v>
      </c>
      <c r="H244" s="24">
        <f>F244*AE244</f>
        <v>0</v>
      </c>
      <c r="I244" s="24">
        <f>J244-H244</f>
        <v>0</v>
      </c>
      <c r="J244" s="24">
        <f>F244*G244</f>
        <v>0</v>
      </c>
      <c r="K244" s="24">
        <v>0.00032</v>
      </c>
      <c r="L244" s="24">
        <f>F244*K244</f>
        <v>0.0009600000000000001</v>
      </c>
      <c r="M244" s="36" t="s">
        <v>1523</v>
      </c>
      <c r="N244" s="36" t="s">
        <v>1526</v>
      </c>
      <c r="O244" s="24">
        <f>IF(N244="5",I244,0)</f>
        <v>0</v>
      </c>
      <c r="Z244" s="24">
        <f>IF(AD244=0,J244,0)</f>
        <v>0</v>
      </c>
      <c r="AA244" s="24">
        <f>IF(AD244=15,J244,0)</f>
        <v>0</v>
      </c>
      <c r="AB244" s="24">
        <f>IF(AD244=21,J244,0)</f>
        <v>0</v>
      </c>
      <c r="AD244" s="39">
        <v>15</v>
      </c>
      <c r="AE244" s="39">
        <f>G244*1</f>
        <v>0</v>
      </c>
      <c r="AF244" s="39">
        <f>G244*(1-1)</f>
        <v>0</v>
      </c>
      <c r="AM244" s="39">
        <f>F244*AE244</f>
        <v>0</v>
      </c>
      <c r="AN244" s="39">
        <f>F244*AF244</f>
        <v>0</v>
      </c>
      <c r="AO244" s="40" t="s">
        <v>1565</v>
      </c>
      <c r="AP244" s="40" t="s">
        <v>1604</v>
      </c>
      <c r="AQ244" s="31" t="s">
        <v>1608</v>
      </c>
    </row>
    <row r="245" spans="1:43" ht="12.75">
      <c r="A245" s="5" t="s">
        <v>143</v>
      </c>
      <c r="B245" s="5" t="s">
        <v>589</v>
      </c>
      <c r="C245" s="5" t="s">
        <v>740</v>
      </c>
      <c r="D245" s="5" t="s">
        <v>1156</v>
      </c>
      <c r="E245" s="5" t="s">
        <v>1494</v>
      </c>
      <c r="F245" s="22">
        <v>6</v>
      </c>
      <c r="G245" s="22">
        <v>0</v>
      </c>
      <c r="H245" s="22">
        <f>F245*AE245</f>
        <v>0</v>
      </c>
      <c r="I245" s="22">
        <f>J245-H245</f>
        <v>0</v>
      </c>
      <c r="J245" s="22">
        <f>F245*G245</f>
        <v>0</v>
      </c>
      <c r="K245" s="22">
        <v>4E-05</v>
      </c>
      <c r="L245" s="22">
        <f>F245*K245</f>
        <v>0.00024000000000000003</v>
      </c>
      <c r="M245" s="35" t="s">
        <v>1523</v>
      </c>
      <c r="N245" s="35" t="s">
        <v>7</v>
      </c>
      <c r="O245" s="22">
        <f>IF(N245="5",I245,0)</f>
        <v>0</v>
      </c>
      <c r="Z245" s="22">
        <f>IF(AD245=0,J245,0)</f>
        <v>0</v>
      </c>
      <c r="AA245" s="22">
        <f>IF(AD245=15,J245,0)</f>
        <v>0</v>
      </c>
      <c r="AB245" s="22">
        <f>IF(AD245=21,J245,0)</f>
        <v>0</v>
      </c>
      <c r="AD245" s="39">
        <v>15</v>
      </c>
      <c r="AE245" s="39">
        <f>G245*0.0407139600026057</f>
        <v>0</v>
      </c>
      <c r="AF245" s="39">
        <f>G245*(1-0.0407139600026057)</f>
        <v>0</v>
      </c>
      <c r="AM245" s="39">
        <f>F245*AE245</f>
        <v>0</v>
      </c>
      <c r="AN245" s="39">
        <f>F245*AF245</f>
        <v>0</v>
      </c>
      <c r="AO245" s="40" t="s">
        <v>1565</v>
      </c>
      <c r="AP245" s="40" t="s">
        <v>1604</v>
      </c>
      <c r="AQ245" s="31" t="s">
        <v>1608</v>
      </c>
    </row>
    <row r="246" spans="1:43" ht="12.75">
      <c r="A246" s="5" t="s">
        <v>144</v>
      </c>
      <c r="B246" s="5" t="s">
        <v>589</v>
      </c>
      <c r="C246" s="5" t="s">
        <v>741</v>
      </c>
      <c r="D246" s="5" t="s">
        <v>1157</v>
      </c>
      <c r="E246" s="5" t="s">
        <v>1500</v>
      </c>
      <c r="F246" s="22">
        <v>3</v>
      </c>
      <c r="G246" s="22">
        <v>0</v>
      </c>
      <c r="H246" s="22">
        <f>F246*AE246</f>
        <v>0</v>
      </c>
      <c r="I246" s="22">
        <f>J246-H246</f>
        <v>0</v>
      </c>
      <c r="J246" s="22">
        <f>F246*G246</f>
        <v>0</v>
      </c>
      <c r="K246" s="22">
        <v>3E-05</v>
      </c>
      <c r="L246" s="22">
        <f>F246*K246</f>
        <v>9E-05</v>
      </c>
      <c r="M246" s="35" t="s">
        <v>1523</v>
      </c>
      <c r="N246" s="35" t="s">
        <v>7</v>
      </c>
      <c r="O246" s="22">
        <f>IF(N246="5",I246,0)</f>
        <v>0</v>
      </c>
      <c r="Z246" s="22">
        <f>IF(AD246=0,J246,0)</f>
        <v>0</v>
      </c>
      <c r="AA246" s="22">
        <f>IF(AD246=15,J246,0)</f>
        <v>0</v>
      </c>
      <c r="AB246" s="22">
        <f>IF(AD246=21,J246,0)</f>
        <v>0</v>
      </c>
      <c r="AD246" s="39">
        <v>15</v>
      </c>
      <c r="AE246" s="39">
        <f>G246*0.901428764591878</f>
        <v>0</v>
      </c>
      <c r="AF246" s="39">
        <f>G246*(1-0.901428764591878)</f>
        <v>0</v>
      </c>
      <c r="AM246" s="39">
        <f>F246*AE246</f>
        <v>0</v>
      </c>
      <c r="AN246" s="39">
        <f>F246*AF246</f>
        <v>0</v>
      </c>
      <c r="AO246" s="40" t="s">
        <v>1565</v>
      </c>
      <c r="AP246" s="40" t="s">
        <v>1604</v>
      </c>
      <c r="AQ246" s="31" t="s">
        <v>1608</v>
      </c>
    </row>
    <row r="247" ht="12.75">
      <c r="D247" s="18" t="s">
        <v>1158</v>
      </c>
    </row>
    <row r="248" spans="1:43" ht="12.75">
      <c r="A248" s="5" t="s">
        <v>145</v>
      </c>
      <c r="B248" s="5" t="s">
        <v>589</v>
      </c>
      <c r="C248" s="5" t="s">
        <v>742</v>
      </c>
      <c r="D248" s="5" t="s">
        <v>1159</v>
      </c>
      <c r="E248" s="5" t="s">
        <v>1494</v>
      </c>
      <c r="F248" s="22">
        <v>3</v>
      </c>
      <c r="G248" s="22">
        <v>0</v>
      </c>
      <c r="H248" s="22">
        <f aca="true" t="shared" si="68" ref="H248:H254">F248*AE248</f>
        <v>0</v>
      </c>
      <c r="I248" s="22">
        <f aca="true" t="shared" si="69" ref="I248:I254">J248-H248</f>
        <v>0</v>
      </c>
      <c r="J248" s="22">
        <f aca="true" t="shared" si="70" ref="J248:J254">F248*G248</f>
        <v>0</v>
      </c>
      <c r="K248" s="22">
        <v>4E-05</v>
      </c>
      <c r="L248" s="22">
        <f aca="true" t="shared" si="71" ref="L248:L254">F248*K248</f>
        <v>0.00012000000000000002</v>
      </c>
      <c r="M248" s="35" t="s">
        <v>1523</v>
      </c>
      <c r="N248" s="35" t="s">
        <v>7</v>
      </c>
      <c r="O248" s="22">
        <f aca="true" t="shared" si="72" ref="O248:O254">IF(N248="5",I248,0)</f>
        <v>0</v>
      </c>
      <c r="Z248" s="22">
        <f aca="true" t="shared" si="73" ref="Z248:Z254">IF(AD248=0,J248,0)</f>
        <v>0</v>
      </c>
      <c r="AA248" s="22">
        <f aca="true" t="shared" si="74" ref="AA248:AA254">IF(AD248=15,J248,0)</f>
        <v>0</v>
      </c>
      <c r="AB248" s="22">
        <f aca="true" t="shared" si="75" ref="AB248:AB254">IF(AD248=21,J248,0)</f>
        <v>0</v>
      </c>
      <c r="AD248" s="39">
        <v>15</v>
      </c>
      <c r="AE248" s="39">
        <f>G248*0.0255212355212355</f>
        <v>0</v>
      </c>
      <c r="AF248" s="39">
        <f>G248*(1-0.0255212355212355)</f>
        <v>0</v>
      </c>
      <c r="AM248" s="39">
        <f aca="true" t="shared" si="76" ref="AM248:AM254">F248*AE248</f>
        <v>0</v>
      </c>
      <c r="AN248" s="39">
        <f aca="true" t="shared" si="77" ref="AN248:AN254">F248*AF248</f>
        <v>0</v>
      </c>
      <c r="AO248" s="40" t="s">
        <v>1565</v>
      </c>
      <c r="AP248" s="40" t="s">
        <v>1604</v>
      </c>
      <c r="AQ248" s="31" t="s">
        <v>1608</v>
      </c>
    </row>
    <row r="249" spans="1:43" ht="12.75">
      <c r="A249" s="5" t="s">
        <v>146</v>
      </c>
      <c r="B249" s="5" t="s">
        <v>589</v>
      </c>
      <c r="C249" s="5" t="s">
        <v>743</v>
      </c>
      <c r="D249" s="5" t="s">
        <v>1160</v>
      </c>
      <c r="E249" s="5" t="s">
        <v>1500</v>
      </c>
      <c r="F249" s="22">
        <v>3</v>
      </c>
      <c r="G249" s="22">
        <v>0</v>
      </c>
      <c r="H249" s="22">
        <f t="shared" si="68"/>
        <v>0</v>
      </c>
      <c r="I249" s="22">
        <f t="shared" si="69"/>
        <v>0</v>
      </c>
      <c r="J249" s="22">
        <f t="shared" si="70"/>
        <v>0</v>
      </c>
      <c r="K249" s="22">
        <v>0.01946</v>
      </c>
      <c r="L249" s="22">
        <f t="shared" si="71"/>
        <v>0.05838</v>
      </c>
      <c r="M249" s="35" t="s">
        <v>1523</v>
      </c>
      <c r="N249" s="35" t="s">
        <v>7</v>
      </c>
      <c r="O249" s="22">
        <f t="shared" si="72"/>
        <v>0</v>
      </c>
      <c r="Z249" s="22">
        <f t="shared" si="73"/>
        <v>0</v>
      </c>
      <c r="AA249" s="22">
        <f t="shared" si="74"/>
        <v>0</v>
      </c>
      <c r="AB249" s="22">
        <f t="shared" si="75"/>
        <v>0</v>
      </c>
      <c r="AD249" s="39">
        <v>15</v>
      </c>
      <c r="AE249" s="39">
        <f>G249*0</f>
        <v>0</v>
      </c>
      <c r="AF249" s="39">
        <f>G249*(1-0)</f>
        <v>0</v>
      </c>
      <c r="AM249" s="39">
        <f t="shared" si="76"/>
        <v>0</v>
      </c>
      <c r="AN249" s="39">
        <f t="shared" si="77"/>
        <v>0</v>
      </c>
      <c r="AO249" s="40" t="s">
        <v>1565</v>
      </c>
      <c r="AP249" s="40" t="s">
        <v>1604</v>
      </c>
      <c r="AQ249" s="31" t="s">
        <v>1608</v>
      </c>
    </row>
    <row r="250" spans="1:43" ht="12.75">
      <c r="A250" s="5" t="s">
        <v>147</v>
      </c>
      <c r="B250" s="5" t="s">
        <v>589</v>
      </c>
      <c r="C250" s="5" t="s">
        <v>744</v>
      </c>
      <c r="D250" s="5" t="s">
        <v>1161</v>
      </c>
      <c r="E250" s="5" t="s">
        <v>1500</v>
      </c>
      <c r="F250" s="22">
        <v>3</v>
      </c>
      <c r="G250" s="22">
        <v>0</v>
      </c>
      <c r="H250" s="22">
        <f t="shared" si="68"/>
        <v>0</v>
      </c>
      <c r="I250" s="22">
        <f t="shared" si="69"/>
        <v>0</v>
      </c>
      <c r="J250" s="22">
        <f t="shared" si="70"/>
        <v>0</v>
      </c>
      <c r="K250" s="22">
        <v>0.0329</v>
      </c>
      <c r="L250" s="22">
        <f t="shared" si="71"/>
        <v>0.0987</v>
      </c>
      <c r="M250" s="35" t="s">
        <v>1523</v>
      </c>
      <c r="N250" s="35" t="s">
        <v>7</v>
      </c>
      <c r="O250" s="22">
        <f t="shared" si="72"/>
        <v>0</v>
      </c>
      <c r="Z250" s="22">
        <f t="shared" si="73"/>
        <v>0</v>
      </c>
      <c r="AA250" s="22">
        <f t="shared" si="74"/>
        <v>0</v>
      </c>
      <c r="AB250" s="22">
        <f t="shared" si="75"/>
        <v>0</v>
      </c>
      <c r="AD250" s="39">
        <v>15</v>
      </c>
      <c r="AE250" s="39">
        <f>G250*0</f>
        <v>0</v>
      </c>
      <c r="AF250" s="39">
        <f>G250*(1-0)</f>
        <v>0</v>
      </c>
      <c r="AM250" s="39">
        <f t="shared" si="76"/>
        <v>0</v>
      </c>
      <c r="AN250" s="39">
        <f t="shared" si="77"/>
        <v>0</v>
      </c>
      <c r="AO250" s="40" t="s">
        <v>1565</v>
      </c>
      <c r="AP250" s="40" t="s">
        <v>1604</v>
      </c>
      <c r="AQ250" s="31" t="s">
        <v>1608</v>
      </c>
    </row>
    <row r="251" spans="1:43" ht="12.75">
      <c r="A251" s="5" t="s">
        <v>148</v>
      </c>
      <c r="B251" s="5" t="s">
        <v>589</v>
      </c>
      <c r="C251" s="5" t="s">
        <v>745</v>
      </c>
      <c r="D251" s="5" t="s">
        <v>1162</v>
      </c>
      <c r="E251" s="5" t="s">
        <v>1500</v>
      </c>
      <c r="F251" s="22">
        <v>3</v>
      </c>
      <c r="G251" s="22">
        <v>0</v>
      </c>
      <c r="H251" s="22">
        <f t="shared" si="68"/>
        <v>0</v>
      </c>
      <c r="I251" s="22">
        <f t="shared" si="69"/>
        <v>0</v>
      </c>
      <c r="J251" s="22">
        <f t="shared" si="70"/>
        <v>0</v>
      </c>
      <c r="K251" s="22">
        <v>0.01933</v>
      </c>
      <c r="L251" s="22">
        <f t="shared" si="71"/>
        <v>0.05799</v>
      </c>
      <c r="M251" s="35" t="s">
        <v>1523</v>
      </c>
      <c r="N251" s="35" t="s">
        <v>7</v>
      </c>
      <c r="O251" s="22">
        <f t="shared" si="72"/>
        <v>0</v>
      </c>
      <c r="Z251" s="22">
        <f t="shared" si="73"/>
        <v>0</v>
      </c>
      <c r="AA251" s="22">
        <f t="shared" si="74"/>
        <v>0</v>
      </c>
      <c r="AB251" s="22">
        <f t="shared" si="75"/>
        <v>0</v>
      </c>
      <c r="AD251" s="39">
        <v>15</v>
      </c>
      <c r="AE251" s="39">
        <f>G251*0</f>
        <v>0</v>
      </c>
      <c r="AF251" s="39">
        <f>G251*(1-0)</f>
        <v>0</v>
      </c>
      <c r="AM251" s="39">
        <f t="shared" si="76"/>
        <v>0</v>
      </c>
      <c r="AN251" s="39">
        <f t="shared" si="77"/>
        <v>0</v>
      </c>
      <c r="AO251" s="40" t="s">
        <v>1565</v>
      </c>
      <c r="AP251" s="40" t="s">
        <v>1604</v>
      </c>
      <c r="AQ251" s="31" t="s">
        <v>1608</v>
      </c>
    </row>
    <row r="252" spans="1:43" ht="12.75">
      <c r="A252" s="5" t="s">
        <v>149</v>
      </c>
      <c r="B252" s="5" t="s">
        <v>589</v>
      </c>
      <c r="C252" s="5" t="s">
        <v>746</v>
      </c>
      <c r="D252" s="5" t="s">
        <v>1163</v>
      </c>
      <c r="E252" s="5" t="s">
        <v>1500</v>
      </c>
      <c r="F252" s="22">
        <v>9</v>
      </c>
      <c r="G252" s="22">
        <v>0</v>
      </c>
      <c r="H252" s="22">
        <f t="shared" si="68"/>
        <v>0</v>
      </c>
      <c r="I252" s="22">
        <f t="shared" si="69"/>
        <v>0</v>
      </c>
      <c r="J252" s="22">
        <f t="shared" si="70"/>
        <v>0</v>
      </c>
      <c r="K252" s="22">
        <v>0.00156</v>
      </c>
      <c r="L252" s="22">
        <f t="shared" si="71"/>
        <v>0.01404</v>
      </c>
      <c r="M252" s="35" t="s">
        <v>1523</v>
      </c>
      <c r="N252" s="35" t="s">
        <v>7</v>
      </c>
      <c r="O252" s="22">
        <f t="shared" si="72"/>
        <v>0</v>
      </c>
      <c r="Z252" s="22">
        <f t="shared" si="73"/>
        <v>0</v>
      </c>
      <c r="AA252" s="22">
        <f t="shared" si="74"/>
        <v>0</v>
      </c>
      <c r="AB252" s="22">
        <f t="shared" si="75"/>
        <v>0</v>
      </c>
      <c r="AD252" s="39">
        <v>15</v>
      </c>
      <c r="AE252" s="39">
        <f>G252*0</f>
        <v>0</v>
      </c>
      <c r="AF252" s="39">
        <f>G252*(1-0)</f>
        <v>0</v>
      </c>
      <c r="AM252" s="39">
        <f t="shared" si="76"/>
        <v>0</v>
      </c>
      <c r="AN252" s="39">
        <f t="shared" si="77"/>
        <v>0</v>
      </c>
      <c r="AO252" s="40" t="s">
        <v>1565</v>
      </c>
      <c r="AP252" s="40" t="s">
        <v>1604</v>
      </c>
      <c r="AQ252" s="31" t="s">
        <v>1608</v>
      </c>
    </row>
    <row r="253" spans="1:43" ht="12.75">
      <c r="A253" s="5" t="s">
        <v>150</v>
      </c>
      <c r="B253" s="5" t="s">
        <v>589</v>
      </c>
      <c r="C253" s="5" t="s">
        <v>747</v>
      </c>
      <c r="D253" s="5" t="s">
        <v>1164</v>
      </c>
      <c r="E253" s="5" t="s">
        <v>1500</v>
      </c>
      <c r="F253" s="22">
        <v>6</v>
      </c>
      <c r="G253" s="22">
        <v>0</v>
      </c>
      <c r="H253" s="22">
        <f t="shared" si="68"/>
        <v>0</v>
      </c>
      <c r="I253" s="22">
        <f t="shared" si="69"/>
        <v>0</v>
      </c>
      <c r="J253" s="22">
        <f t="shared" si="70"/>
        <v>0</v>
      </c>
      <c r="K253" s="22">
        <v>0.00086</v>
      </c>
      <c r="L253" s="22">
        <f t="shared" si="71"/>
        <v>0.00516</v>
      </c>
      <c r="M253" s="35" t="s">
        <v>1523</v>
      </c>
      <c r="N253" s="35" t="s">
        <v>7</v>
      </c>
      <c r="O253" s="22">
        <f t="shared" si="72"/>
        <v>0</v>
      </c>
      <c r="Z253" s="22">
        <f t="shared" si="73"/>
        <v>0</v>
      </c>
      <c r="AA253" s="22">
        <f t="shared" si="74"/>
        <v>0</v>
      </c>
      <c r="AB253" s="22">
        <f t="shared" si="75"/>
        <v>0</v>
      </c>
      <c r="AD253" s="39">
        <v>15</v>
      </c>
      <c r="AE253" s="39">
        <f>G253*0</f>
        <v>0</v>
      </c>
      <c r="AF253" s="39">
        <f>G253*(1-0)</f>
        <v>0</v>
      </c>
      <c r="AM253" s="39">
        <f t="shared" si="76"/>
        <v>0</v>
      </c>
      <c r="AN253" s="39">
        <f t="shared" si="77"/>
        <v>0</v>
      </c>
      <c r="AO253" s="40" t="s">
        <v>1565</v>
      </c>
      <c r="AP253" s="40" t="s">
        <v>1604</v>
      </c>
      <c r="AQ253" s="31" t="s">
        <v>1608</v>
      </c>
    </row>
    <row r="254" spans="1:43" ht="12.75">
      <c r="A254" s="5" t="s">
        <v>151</v>
      </c>
      <c r="B254" s="5" t="s">
        <v>589</v>
      </c>
      <c r="C254" s="5" t="s">
        <v>748</v>
      </c>
      <c r="D254" s="5" t="s">
        <v>1165</v>
      </c>
      <c r="E254" s="5" t="s">
        <v>1494</v>
      </c>
      <c r="F254" s="22">
        <v>6</v>
      </c>
      <c r="G254" s="22">
        <v>0</v>
      </c>
      <c r="H254" s="22">
        <f t="shared" si="68"/>
        <v>0</v>
      </c>
      <c r="I254" s="22">
        <f t="shared" si="69"/>
        <v>0</v>
      </c>
      <c r="J254" s="22">
        <f t="shared" si="70"/>
        <v>0</v>
      </c>
      <c r="K254" s="22">
        <v>0.0002</v>
      </c>
      <c r="L254" s="22">
        <f t="shared" si="71"/>
        <v>0.0012000000000000001</v>
      </c>
      <c r="M254" s="35" t="s">
        <v>1523</v>
      </c>
      <c r="N254" s="35" t="s">
        <v>7</v>
      </c>
      <c r="O254" s="22">
        <f t="shared" si="72"/>
        <v>0</v>
      </c>
      <c r="Z254" s="22">
        <f t="shared" si="73"/>
        <v>0</v>
      </c>
      <c r="AA254" s="22">
        <f t="shared" si="74"/>
        <v>0</v>
      </c>
      <c r="AB254" s="22">
        <f t="shared" si="75"/>
        <v>0</v>
      </c>
      <c r="AD254" s="39">
        <v>15</v>
      </c>
      <c r="AE254" s="39">
        <f>G254*0.767446504992867</f>
        <v>0</v>
      </c>
      <c r="AF254" s="39">
        <f>G254*(1-0.767446504992867)</f>
        <v>0</v>
      </c>
      <c r="AM254" s="39">
        <f t="shared" si="76"/>
        <v>0</v>
      </c>
      <c r="AN254" s="39">
        <f t="shared" si="77"/>
        <v>0</v>
      </c>
      <c r="AO254" s="40" t="s">
        <v>1565</v>
      </c>
      <c r="AP254" s="40" t="s">
        <v>1604</v>
      </c>
      <c r="AQ254" s="31" t="s">
        <v>1608</v>
      </c>
    </row>
    <row r="255" ht="12.75">
      <c r="D255" s="18" t="s">
        <v>1166</v>
      </c>
    </row>
    <row r="256" spans="1:43" ht="12.75">
      <c r="A256" s="5" t="s">
        <v>152</v>
      </c>
      <c r="B256" s="5" t="s">
        <v>589</v>
      </c>
      <c r="C256" s="5" t="s">
        <v>749</v>
      </c>
      <c r="D256" s="5" t="s">
        <v>1167</v>
      </c>
      <c r="E256" s="5" t="s">
        <v>1500</v>
      </c>
      <c r="F256" s="22">
        <v>6</v>
      </c>
      <c r="G256" s="22">
        <v>0</v>
      </c>
      <c r="H256" s="22">
        <f>F256*AE256</f>
        <v>0</v>
      </c>
      <c r="I256" s="22">
        <f>J256-H256</f>
        <v>0</v>
      </c>
      <c r="J256" s="22">
        <f>F256*G256</f>
        <v>0</v>
      </c>
      <c r="K256" s="22">
        <v>0.00024</v>
      </c>
      <c r="L256" s="22">
        <f>F256*K256</f>
        <v>0.00144</v>
      </c>
      <c r="M256" s="35" t="s">
        <v>1523</v>
      </c>
      <c r="N256" s="35" t="s">
        <v>7</v>
      </c>
      <c r="O256" s="22">
        <f>IF(N256="5",I256,0)</f>
        <v>0</v>
      </c>
      <c r="Z256" s="22">
        <f>IF(AD256=0,J256,0)</f>
        <v>0</v>
      </c>
      <c r="AA256" s="22">
        <f>IF(AD256=15,J256,0)</f>
        <v>0</v>
      </c>
      <c r="AB256" s="22">
        <f>IF(AD256=21,J256,0)</f>
        <v>0</v>
      </c>
      <c r="AD256" s="39">
        <v>15</v>
      </c>
      <c r="AE256" s="39">
        <f>G256*0.900987951807229</f>
        <v>0</v>
      </c>
      <c r="AF256" s="39">
        <f>G256*(1-0.900987951807229)</f>
        <v>0</v>
      </c>
      <c r="AM256" s="39">
        <f>F256*AE256</f>
        <v>0</v>
      </c>
      <c r="AN256" s="39">
        <f>F256*AF256</f>
        <v>0</v>
      </c>
      <c r="AO256" s="40" t="s">
        <v>1565</v>
      </c>
      <c r="AP256" s="40" t="s">
        <v>1604</v>
      </c>
      <c r="AQ256" s="31" t="s">
        <v>1608</v>
      </c>
    </row>
    <row r="257" spans="1:43" ht="12.75">
      <c r="A257" s="5" t="s">
        <v>153</v>
      </c>
      <c r="B257" s="5" t="s">
        <v>589</v>
      </c>
      <c r="C257" s="5" t="s">
        <v>750</v>
      </c>
      <c r="D257" s="5" t="s">
        <v>1168</v>
      </c>
      <c r="E257" s="5" t="s">
        <v>1500</v>
      </c>
      <c r="F257" s="22">
        <v>3</v>
      </c>
      <c r="G257" s="22">
        <v>0</v>
      </c>
      <c r="H257" s="22">
        <f>F257*AE257</f>
        <v>0</v>
      </c>
      <c r="I257" s="22">
        <f>J257-H257</f>
        <v>0</v>
      </c>
      <c r="J257" s="22">
        <f>F257*G257</f>
        <v>0</v>
      </c>
      <c r="K257" s="22">
        <v>0.03494</v>
      </c>
      <c r="L257" s="22">
        <f>F257*K257</f>
        <v>0.10482</v>
      </c>
      <c r="M257" s="35" t="s">
        <v>1523</v>
      </c>
      <c r="N257" s="35" t="s">
        <v>7</v>
      </c>
      <c r="O257" s="22">
        <f>IF(N257="5",I257,0)</f>
        <v>0</v>
      </c>
      <c r="Z257" s="22">
        <f>IF(AD257=0,J257,0)</f>
        <v>0</v>
      </c>
      <c r="AA257" s="22">
        <f>IF(AD257=15,J257,0)</f>
        <v>0</v>
      </c>
      <c r="AB257" s="22">
        <f>IF(AD257=21,J257,0)</f>
        <v>0</v>
      </c>
      <c r="AD257" s="39">
        <v>15</v>
      </c>
      <c r="AE257" s="39">
        <f>G257*0.906971050454921</f>
        <v>0</v>
      </c>
      <c r="AF257" s="39">
        <f>G257*(1-0.906971050454921)</f>
        <v>0</v>
      </c>
      <c r="AM257" s="39">
        <f>F257*AE257</f>
        <v>0</v>
      </c>
      <c r="AN257" s="39">
        <f>F257*AF257</f>
        <v>0</v>
      </c>
      <c r="AO257" s="40" t="s">
        <v>1565</v>
      </c>
      <c r="AP257" s="40" t="s">
        <v>1604</v>
      </c>
      <c r="AQ257" s="31" t="s">
        <v>1608</v>
      </c>
    </row>
    <row r="258" ht="12.75">
      <c r="D258" s="18" t="s">
        <v>1169</v>
      </c>
    </row>
    <row r="259" spans="1:37" ht="12.75">
      <c r="A259" s="4"/>
      <c r="B259" s="14" t="s">
        <v>589</v>
      </c>
      <c r="C259" s="14" t="s">
        <v>751</v>
      </c>
      <c r="D259" s="104" t="s">
        <v>1170</v>
      </c>
      <c r="E259" s="105"/>
      <c r="F259" s="105"/>
      <c r="G259" s="105"/>
      <c r="H259" s="42">
        <f>SUM(H260:H267)</f>
        <v>0</v>
      </c>
      <c r="I259" s="42">
        <f>SUM(I260:I267)</f>
        <v>0</v>
      </c>
      <c r="J259" s="42">
        <f>H259+I259</f>
        <v>0</v>
      </c>
      <c r="K259" s="31"/>
      <c r="L259" s="42">
        <f>SUM(L260:L267)</f>
        <v>0.08504</v>
      </c>
      <c r="M259" s="31"/>
      <c r="P259" s="42">
        <f>IF(Q259="PR",J259,SUM(O260:O267))</f>
        <v>0</v>
      </c>
      <c r="Q259" s="31" t="s">
        <v>1530</v>
      </c>
      <c r="R259" s="42">
        <f>IF(Q259="HS",H259,0)</f>
        <v>0</v>
      </c>
      <c r="S259" s="42">
        <f>IF(Q259="HS",I259-P259,0)</f>
        <v>0</v>
      </c>
      <c r="T259" s="42">
        <f>IF(Q259="PS",H259,0)</f>
        <v>0</v>
      </c>
      <c r="U259" s="42">
        <f>IF(Q259="PS",I259-P259,0)</f>
        <v>0</v>
      </c>
      <c r="V259" s="42">
        <f>IF(Q259="MP",H259,0)</f>
        <v>0</v>
      </c>
      <c r="W259" s="42">
        <f>IF(Q259="MP",I259-P259,0)</f>
        <v>0</v>
      </c>
      <c r="X259" s="42">
        <f>IF(Q259="OM",H259,0)</f>
        <v>0</v>
      </c>
      <c r="Y259" s="31" t="s">
        <v>589</v>
      </c>
      <c r="AI259" s="42">
        <f>SUM(Z260:Z267)</f>
        <v>0</v>
      </c>
      <c r="AJ259" s="42">
        <f>SUM(AA260:AA267)</f>
        <v>0</v>
      </c>
      <c r="AK259" s="42">
        <f>SUM(AB260:AB267)</f>
        <v>0</v>
      </c>
    </row>
    <row r="260" spans="1:43" ht="12.75">
      <c r="A260" s="5" t="s">
        <v>154</v>
      </c>
      <c r="B260" s="5" t="s">
        <v>589</v>
      </c>
      <c r="C260" s="5" t="s">
        <v>752</v>
      </c>
      <c r="D260" s="5" t="s">
        <v>1171</v>
      </c>
      <c r="E260" s="5" t="s">
        <v>1495</v>
      </c>
      <c r="F260" s="22">
        <v>30</v>
      </c>
      <c r="G260" s="22">
        <v>0</v>
      </c>
      <c r="H260" s="22">
        <f>F260*AE260</f>
        <v>0</v>
      </c>
      <c r="I260" s="22">
        <f>J260-H260</f>
        <v>0</v>
      </c>
      <c r="J260" s="22">
        <f>F260*G260</f>
        <v>0</v>
      </c>
      <c r="K260" s="22">
        <v>0</v>
      </c>
      <c r="L260" s="22">
        <f>F260*K260</f>
        <v>0</v>
      </c>
      <c r="M260" s="35" t="s">
        <v>1523</v>
      </c>
      <c r="N260" s="35" t="s">
        <v>7</v>
      </c>
      <c r="O260" s="22">
        <f>IF(N260="5",I260,0)</f>
        <v>0</v>
      </c>
      <c r="Z260" s="22">
        <f>IF(AD260=0,J260,0)</f>
        <v>0</v>
      </c>
      <c r="AA260" s="22">
        <f>IF(AD260=15,J260,0)</f>
        <v>0</v>
      </c>
      <c r="AB260" s="22">
        <f>IF(AD260=21,J260,0)</f>
        <v>0</v>
      </c>
      <c r="AD260" s="39">
        <v>15</v>
      </c>
      <c r="AE260" s="39">
        <f>G260*0</f>
        <v>0</v>
      </c>
      <c r="AF260" s="39">
        <f>G260*(1-0)</f>
        <v>0</v>
      </c>
      <c r="AM260" s="39">
        <f>F260*AE260</f>
        <v>0</v>
      </c>
      <c r="AN260" s="39">
        <f>F260*AF260</f>
        <v>0</v>
      </c>
      <c r="AO260" s="40" t="s">
        <v>1566</v>
      </c>
      <c r="AP260" s="40" t="s">
        <v>1604</v>
      </c>
      <c r="AQ260" s="31" t="s">
        <v>1608</v>
      </c>
    </row>
    <row r="261" spans="1:43" ht="12.75">
      <c r="A261" s="6" t="s">
        <v>155</v>
      </c>
      <c r="B261" s="6" t="s">
        <v>589</v>
      </c>
      <c r="C261" s="6" t="s">
        <v>753</v>
      </c>
      <c r="D261" s="6" t="s">
        <v>1172</v>
      </c>
      <c r="E261" s="6" t="s">
        <v>1494</v>
      </c>
      <c r="F261" s="24">
        <v>10</v>
      </c>
      <c r="G261" s="24">
        <v>0</v>
      </c>
      <c r="H261" s="24">
        <f>F261*AE261</f>
        <v>0</v>
      </c>
      <c r="I261" s="24">
        <f>J261-H261</f>
        <v>0</v>
      </c>
      <c r="J261" s="24">
        <f>F261*G261</f>
        <v>0</v>
      </c>
      <c r="K261" s="24">
        <v>0.00381</v>
      </c>
      <c r="L261" s="24">
        <f>F261*K261</f>
        <v>0.0381</v>
      </c>
      <c r="M261" s="36" t="s">
        <v>1523</v>
      </c>
      <c r="N261" s="36" t="s">
        <v>1526</v>
      </c>
      <c r="O261" s="24">
        <f>IF(N261="5",I261,0)</f>
        <v>0</v>
      </c>
      <c r="Z261" s="24">
        <f>IF(AD261=0,J261,0)</f>
        <v>0</v>
      </c>
      <c r="AA261" s="24">
        <f>IF(AD261=15,J261,0)</f>
        <v>0</v>
      </c>
      <c r="AB261" s="24">
        <f>IF(AD261=21,J261,0)</f>
        <v>0</v>
      </c>
      <c r="AD261" s="39">
        <v>15</v>
      </c>
      <c r="AE261" s="39">
        <f>G261*1</f>
        <v>0</v>
      </c>
      <c r="AF261" s="39">
        <f>G261*(1-1)</f>
        <v>0</v>
      </c>
      <c r="AM261" s="39">
        <f>F261*AE261</f>
        <v>0</v>
      </c>
      <c r="AN261" s="39">
        <f>F261*AF261</f>
        <v>0</v>
      </c>
      <c r="AO261" s="40" t="s">
        <v>1566</v>
      </c>
      <c r="AP261" s="40" t="s">
        <v>1604</v>
      </c>
      <c r="AQ261" s="31" t="s">
        <v>1608</v>
      </c>
    </row>
    <row r="262" spans="1:43" ht="12.75">
      <c r="A262" s="6" t="s">
        <v>156</v>
      </c>
      <c r="B262" s="6" t="s">
        <v>589</v>
      </c>
      <c r="C262" s="6" t="s">
        <v>754</v>
      </c>
      <c r="D262" s="6" t="s">
        <v>1173</v>
      </c>
      <c r="E262" s="6" t="s">
        <v>1494</v>
      </c>
      <c r="F262" s="24">
        <v>3</v>
      </c>
      <c r="G262" s="24">
        <v>0</v>
      </c>
      <c r="H262" s="24">
        <f>F262*AE262</f>
        <v>0</v>
      </c>
      <c r="I262" s="24">
        <f>J262-H262</f>
        <v>0</v>
      </c>
      <c r="J262" s="24">
        <f>F262*G262</f>
        <v>0</v>
      </c>
      <c r="K262" s="24">
        <v>0.0005</v>
      </c>
      <c r="L262" s="24">
        <f>F262*K262</f>
        <v>0.0015</v>
      </c>
      <c r="M262" s="36" t="s">
        <v>1523</v>
      </c>
      <c r="N262" s="36" t="s">
        <v>1526</v>
      </c>
      <c r="O262" s="24">
        <f>IF(N262="5",I262,0)</f>
        <v>0</v>
      </c>
      <c r="Z262" s="24">
        <f>IF(AD262=0,J262,0)</f>
        <v>0</v>
      </c>
      <c r="AA262" s="24">
        <f>IF(AD262=15,J262,0)</f>
        <v>0</v>
      </c>
      <c r="AB262" s="24">
        <f>IF(AD262=21,J262,0)</f>
        <v>0</v>
      </c>
      <c r="AD262" s="39">
        <v>15</v>
      </c>
      <c r="AE262" s="39">
        <f>G262*1</f>
        <v>0</v>
      </c>
      <c r="AF262" s="39">
        <f>G262*(1-1)</f>
        <v>0</v>
      </c>
      <c r="AM262" s="39">
        <f>F262*AE262</f>
        <v>0</v>
      </c>
      <c r="AN262" s="39">
        <f>F262*AF262</f>
        <v>0</v>
      </c>
      <c r="AO262" s="40" t="s">
        <v>1566</v>
      </c>
      <c r="AP262" s="40" t="s">
        <v>1604</v>
      </c>
      <c r="AQ262" s="31" t="s">
        <v>1608</v>
      </c>
    </row>
    <row r="263" spans="1:43" ht="12.75">
      <c r="A263" s="5" t="s">
        <v>157</v>
      </c>
      <c r="B263" s="5" t="s">
        <v>589</v>
      </c>
      <c r="C263" s="5" t="s">
        <v>644</v>
      </c>
      <c r="D263" s="5" t="s">
        <v>1045</v>
      </c>
      <c r="E263" s="5" t="s">
        <v>1497</v>
      </c>
      <c r="F263" s="22">
        <v>5</v>
      </c>
      <c r="G263" s="22">
        <v>0</v>
      </c>
      <c r="H263" s="22">
        <f>F263*AE263</f>
        <v>0</v>
      </c>
      <c r="I263" s="22">
        <f>J263-H263</f>
        <v>0</v>
      </c>
      <c r="J263" s="22">
        <f>F263*G263</f>
        <v>0</v>
      </c>
      <c r="K263" s="22">
        <v>0</v>
      </c>
      <c r="L263" s="22">
        <f>F263*K263</f>
        <v>0</v>
      </c>
      <c r="M263" s="35" t="s">
        <v>1523</v>
      </c>
      <c r="N263" s="35" t="s">
        <v>7</v>
      </c>
      <c r="O263" s="22">
        <f>IF(N263="5",I263,0)</f>
        <v>0</v>
      </c>
      <c r="Z263" s="22">
        <f>IF(AD263=0,J263,0)</f>
        <v>0</v>
      </c>
      <c r="AA263" s="22">
        <f>IF(AD263=15,J263,0)</f>
        <v>0</v>
      </c>
      <c r="AB263" s="22">
        <f>IF(AD263=21,J263,0)</f>
        <v>0</v>
      </c>
      <c r="AD263" s="39">
        <v>15</v>
      </c>
      <c r="AE263" s="39">
        <f>G263*0</f>
        <v>0</v>
      </c>
      <c r="AF263" s="39">
        <f>G263*(1-0)</f>
        <v>0</v>
      </c>
      <c r="AM263" s="39">
        <f>F263*AE263</f>
        <v>0</v>
      </c>
      <c r="AN263" s="39">
        <f>F263*AF263</f>
        <v>0</v>
      </c>
      <c r="AO263" s="40" t="s">
        <v>1566</v>
      </c>
      <c r="AP263" s="40" t="s">
        <v>1604</v>
      </c>
      <c r="AQ263" s="31" t="s">
        <v>1608</v>
      </c>
    </row>
    <row r="264" ht="12.75">
      <c r="D264" s="18" t="s">
        <v>1174</v>
      </c>
    </row>
    <row r="265" spans="1:43" ht="12.75">
      <c r="A265" s="6" t="s">
        <v>158</v>
      </c>
      <c r="B265" s="6" t="s">
        <v>589</v>
      </c>
      <c r="C265" s="6" t="s">
        <v>755</v>
      </c>
      <c r="D265" s="6" t="s">
        <v>1175</v>
      </c>
      <c r="E265" s="6" t="s">
        <v>1494</v>
      </c>
      <c r="F265" s="24">
        <v>1</v>
      </c>
      <c r="G265" s="24">
        <v>0</v>
      </c>
      <c r="H265" s="24">
        <f>F265*AE265</f>
        <v>0</v>
      </c>
      <c r="I265" s="24">
        <f>J265-H265</f>
        <v>0</v>
      </c>
      <c r="J265" s="24">
        <f>F265*G265</f>
        <v>0</v>
      </c>
      <c r="K265" s="24">
        <v>0.00044</v>
      </c>
      <c r="L265" s="24">
        <f>F265*K265</f>
        <v>0.00044</v>
      </c>
      <c r="M265" s="36" t="s">
        <v>1523</v>
      </c>
      <c r="N265" s="36" t="s">
        <v>1526</v>
      </c>
      <c r="O265" s="24">
        <f>IF(N265="5",I265,0)</f>
        <v>0</v>
      </c>
      <c r="Z265" s="24">
        <f>IF(AD265=0,J265,0)</f>
        <v>0</v>
      </c>
      <c r="AA265" s="24">
        <f>IF(AD265=15,J265,0)</f>
        <v>0</v>
      </c>
      <c r="AB265" s="24">
        <f>IF(AD265=21,J265,0)</f>
        <v>0</v>
      </c>
      <c r="AD265" s="39">
        <v>15</v>
      </c>
      <c r="AE265" s="39">
        <f>G265*1</f>
        <v>0</v>
      </c>
      <c r="AF265" s="39">
        <f>G265*(1-1)</f>
        <v>0</v>
      </c>
      <c r="AM265" s="39">
        <f>F265*AE265</f>
        <v>0</v>
      </c>
      <c r="AN265" s="39">
        <f>F265*AF265</f>
        <v>0</v>
      </c>
      <c r="AO265" s="40" t="s">
        <v>1566</v>
      </c>
      <c r="AP265" s="40" t="s">
        <v>1604</v>
      </c>
      <c r="AQ265" s="31" t="s">
        <v>1608</v>
      </c>
    </row>
    <row r="266" spans="1:43" ht="12.75">
      <c r="A266" s="6" t="s">
        <v>159</v>
      </c>
      <c r="B266" s="6" t="s">
        <v>589</v>
      </c>
      <c r="C266" s="6" t="s">
        <v>756</v>
      </c>
      <c r="D266" s="6" t="s">
        <v>1176</v>
      </c>
      <c r="E266" s="6" t="s">
        <v>1494</v>
      </c>
      <c r="F266" s="24">
        <v>3</v>
      </c>
      <c r="G266" s="24">
        <v>0</v>
      </c>
      <c r="H266" s="24">
        <f>F266*AE266</f>
        <v>0</v>
      </c>
      <c r="I266" s="24">
        <f>J266-H266</f>
        <v>0</v>
      </c>
      <c r="J266" s="24">
        <f>F266*G266</f>
        <v>0</v>
      </c>
      <c r="K266" s="24">
        <v>0.015</v>
      </c>
      <c r="L266" s="24">
        <f>F266*K266</f>
        <v>0.045</v>
      </c>
      <c r="M266" s="36" t="s">
        <v>1523</v>
      </c>
      <c r="N266" s="36" t="s">
        <v>1526</v>
      </c>
      <c r="O266" s="24">
        <f>IF(N266="5",I266,0)</f>
        <v>0</v>
      </c>
      <c r="Z266" s="24">
        <f>IF(AD266=0,J266,0)</f>
        <v>0</v>
      </c>
      <c r="AA266" s="24">
        <f>IF(AD266=15,J266,0)</f>
        <v>0</v>
      </c>
      <c r="AB266" s="24">
        <f>IF(AD266=21,J266,0)</f>
        <v>0</v>
      </c>
      <c r="AD266" s="39">
        <v>15</v>
      </c>
      <c r="AE266" s="39">
        <f>G266*1</f>
        <v>0</v>
      </c>
      <c r="AF266" s="39">
        <f>G266*(1-1)</f>
        <v>0</v>
      </c>
      <c r="AM266" s="39">
        <f>F266*AE266</f>
        <v>0</v>
      </c>
      <c r="AN266" s="39">
        <f>F266*AF266</f>
        <v>0</v>
      </c>
      <c r="AO266" s="40" t="s">
        <v>1566</v>
      </c>
      <c r="AP266" s="40" t="s">
        <v>1604</v>
      </c>
      <c r="AQ266" s="31" t="s">
        <v>1608</v>
      </c>
    </row>
    <row r="267" spans="1:43" ht="12.75">
      <c r="A267" s="5" t="s">
        <v>160</v>
      </c>
      <c r="B267" s="5" t="s">
        <v>589</v>
      </c>
      <c r="C267" s="5" t="s">
        <v>757</v>
      </c>
      <c r="D267" s="5" t="s">
        <v>1177</v>
      </c>
      <c r="E267" s="5" t="s">
        <v>1494</v>
      </c>
      <c r="F267" s="22">
        <v>3</v>
      </c>
      <c r="G267" s="22">
        <v>0</v>
      </c>
      <c r="H267" s="22">
        <f>F267*AE267</f>
        <v>0</v>
      </c>
      <c r="I267" s="22">
        <f>J267-H267</f>
        <v>0</v>
      </c>
      <c r="J267" s="22">
        <f>F267*G267</f>
        <v>0</v>
      </c>
      <c r="K267" s="22">
        <v>0</v>
      </c>
      <c r="L267" s="22">
        <f>F267*K267</f>
        <v>0</v>
      </c>
      <c r="M267" s="35" t="s">
        <v>1523</v>
      </c>
      <c r="N267" s="35" t="s">
        <v>7</v>
      </c>
      <c r="O267" s="22">
        <f>IF(N267="5",I267,0)</f>
        <v>0</v>
      </c>
      <c r="Z267" s="22">
        <f>IF(AD267=0,J267,0)</f>
        <v>0</v>
      </c>
      <c r="AA267" s="22">
        <f>IF(AD267=15,J267,0)</f>
        <v>0</v>
      </c>
      <c r="AB267" s="22">
        <f>IF(AD267=21,J267,0)</f>
        <v>0</v>
      </c>
      <c r="AD267" s="39">
        <v>15</v>
      </c>
      <c r="AE267" s="39">
        <f>G267*0</f>
        <v>0</v>
      </c>
      <c r="AF267" s="39">
        <f>G267*(1-0)</f>
        <v>0</v>
      </c>
      <c r="AM267" s="39">
        <f>F267*AE267</f>
        <v>0</v>
      </c>
      <c r="AN267" s="39">
        <f>F267*AF267</f>
        <v>0</v>
      </c>
      <c r="AO267" s="40" t="s">
        <v>1566</v>
      </c>
      <c r="AP267" s="40" t="s">
        <v>1604</v>
      </c>
      <c r="AQ267" s="31" t="s">
        <v>1608</v>
      </c>
    </row>
    <row r="268" ht="39">
      <c r="D268" s="18" t="s">
        <v>1178</v>
      </c>
    </row>
    <row r="269" spans="1:37" ht="12.75">
      <c r="A269" s="4"/>
      <c r="B269" s="14" t="s">
        <v>589</v>
      </c>
      <c r="C269" s="14" t="s">
        <v>609</v>
      </c>
      <c r="D269" s="104" t="s">
        <v>982</v>
      </c>
      <c r="E269" s="105"/>
      <c r="F269" s="105"/>
      <c r="G269" s="105"/>
      <c r="H269" s="42">
        <f>SUM(H270:H272)</f>
        <v>0</v>
      </c>
      <c r="I269" s="42">
        <f>SUM(I270:I272)</f>
        <v>0</v>
      </c>
      <c r="J269" s="42">
        <f>H269+I269</f>
        <v>0</v>
      </c>
      <c r="K269" s="31"/>
      <c r="L269" s="42">
        <f>SUM(L270:L272)</f>
        <v>0.11105999999999998</v>
      </c>
      <c r="M269" s="31"/>
      <c r="P269" s="42">
        <f>IF(Q269="PR",J269,SUM(O270:O272))</f>
        <v>0</v>
      </c>
      <c r="Q269" s="31" t="s">
        <v>1530</v>
      </c>
      <c r="R269" s="42">
        <f>IF(Q269="HS",H269,0)</f>
        <v>0</v>
      </c>
      <c r="S269" s="42">
        <f>IF(Q269="HS",I269-P269,0)</f>
        <v>0</v>
      </c>
      <c r="T269" s="42">
        <f>IF(Q269="PS",H269,0)</f>
        <v>0</v>
      </c>
      <c r="U269" s="42">
        <f>IF(Q269="PS",I269-P269,0)</f>
        <v>0</v>
      </c>
      <c r="V269" s="42">
        <f>IF(Q269="MP",H269,0)</f>
        <v>0</v>
      </c>
      <c r="W269" s="42">
        <f>IF(Q269="MP",I269-P269,0)</f>
        <v>0</v>
      </c>
      <c r="X269" s="42">
        <f>IF(Q269="OM",H269,0)</f>
        <v>0</v>
      </c>
      <c r="Y269" s="31" t="s">
        <v>589</v>
      </c>
      <c r="AI269" s="42">
        <f>SUM(Z270:Z272)</f>
        <v>0</v>
      </c>
      <c r="AJ269" s="42">
        <f>SUM(AA270:AA272)</f>
        <v>0</v>
      </c>
      <c r="AK269" s="42">
        <f>SUM(AB270:AB272)</f>
        <v>0</v>
      </c>
    </row>
    <row r="270" spans="1:43" ht="12.75">
      <c r="A270" s="6" t="s">
        <v>161</v>
      </c>
      <c r="B270" s="6" t="s">
        <v>589</v>
      </c>
      <c r="C270" s="6" t="s">
        <v>758</v>
      </c>
      <c r="D270" s="6" t="s">
        <v>1179</v>
      </c>
      <c r="E270" s="6" t="s">
        <v>1494</v>
      </c>
      <c r="F270" s="24">
        <v>18</v>
      </c>
      <c r="G270" s="24">
        <v>0</v>
      </c>
      <c r="H270" s="24">
        <f>F270*AE270</f>
        <v>0</v>
      </c>
      <c r="I270" s="24">
        <f>J270-H270</f>
        <v>0</v>
      </c>
      <c r="J270" s="24">
        <f>F270*G270</f>
        <v>0</v>
      </c>
      <c r="K270" s="24">
        <v>0.00015</v>
      </c>
      <c r="L270" s="24">
        <f>F270*K270</f>
        <v>0.0026999999999999997</v>
      </c>
      <c r="M270" s="36" t="s">
        <v>1523</v>
      </c>
      <c r="N270" s="36" t="s">
        <v>1526</v>
      </c>
      <c r="O270" s="24">
        <f>IF(N270="5",I270,0)</f>
        <v>0</v>
      </c>
      <c r="Z270" s="24">
        <f>IF(AD270=0,J270,0)</f>
        <v>0</v>
      </c>
      <c r="AA270" s="24">
        <f>IF(AD270=15,J270,0)</f>
        <v>0</v>
      </c>
      <c r="AB270" s="24">
        <f>IF(AD270=21,J270,0)</f>
        <v>0</v>
      </c>
      <c r="AD270" s="39">
        <v>15</v>
      </c>
      <c r="AE270" s="39">
        <f>G270*1</f>
        <v>0</v>
      </c>
      <c r="AF270" s="39">
        <f>G270*(1-1)</f>
        <v>0</v>
      </c>
      <c r="AM270" s="39">
        <f>F270*AE270</f>
        <v>0</v>
      </c>
      <c r="AN270" s="39">
        <f>F270*AF270</f>
        <v>0</v>
      </c>
      <c r="AO270" s="40" t="s">
        <v>1543</v>
      </c>
      <c r="AP270" s="40" t="s">
        <v>1598</v>
      </c>
      <c r="AQ270" s="31" t="s">
        <v>1608</v>
      </c>
    </row>
    <row r="271" spans="1:43" ht="12.75">
      <c r="A271" s="5" t="s">
        <v>162</v>
      </c>
      <c r="B271" s="5" t="s">
        <v>589</v>
      </c>
      <c r="C271" s="5" t="s">
        <v>759</v>
      </c>
      <c r="D271" s="5" t="s">
        <v>1180</v>
      </c>
      <c r="E271" s="5" t="s">
        <v>1494</v>
      </c>
      <c r="F271" s="22">
        <v>3</v>
      </c>
      <c r="G271" s="22">
        <v>0</v>
      </c>
      <c r="H271" s="22">
        <f>F271*AE271</f>
        <v>0</v>
      </c>
      <c r="I271" s="22">
        <f>J271-H271</f>
        <v>0</v>
      </c>
      <c r="J271" s="22">
        <f>F271*G271</f>
        <v>0</v>
      </c>
      <c r="K271" s="22">
        <v>0.00012</v>
      </c>
      <c r="L271" s="22">
        <f>F271*K271</f>
        <v>0.00036</v>
      </c>
      <c r="M271" s="35" t="s">
        <v>1523</v>
      </c>
      <c r="N271" s="35" t="s">
        <v>7</v>
      </c>
      <c r="O271" s="22">
        <f>IF(N271="5",I271,0)</f>
        <v>0</v>
      </c>
      <c r="Z271" s="22">
        <f>IF(AD271=0,J271,0)</f>
        <v>0</v>
      </c>
      <c r="AA271" s="22">
        <f>IF(AD271=15,J271,0)</f>
        <v>0</v>
      </c>
      <c r="AB271" s="22">
        <f>IF(AD271=21,J271,0)</f>
        <v>0</v>
      </c>
      <c r="AD271" s="39">
        <v>15</v>
      </c>
      <c r="AE271" s="39">
        <f>G271*0.0104718875502008</f>
        <v>0</v>
      </c>
      <c r="AF271" s="39">
        <f>G271*(1-0.0104718875502008)</f>
        <v>0</v>
      </c>
      <c r="AM271" s="39">
        <f>F271*AE271</f>
        <v>0</v>
      </c>
      <c r="AN271" s="39">
        <f>F271*AF271</f>
        <v>0</v>
      </c>
      <c r="AO271" s="40" t="s">
        <v>1543</v>
      </c>
      <c r="AP271" s="40" t="s">
        <v>1598</v>
      </c>
      <c r="AQ271" s="31" t="s">
        <v>1608</v>
      </c>
    </row>
    <row r="272" spans="1:43" ht="12.75">
      <c r="A272" s="6" t="s">
        <v>163</v>
      </c>
      <c r="B272" s="6" t="s">
        <v>589</v>
      </c>
      <c r="C272" s="6" t="s">
        <v>760</v>
      </c>
      <c r="D272" s="6" t="s">
        <v>1181</v>
      </c>
      <c r="E272" s="6" t="s">
        <v>1494</v>
      </c>
      <c r="F272" s="24">
        <v>3</v>
      </c>
      <c r="G272" s="24">
        <v>0</v>
      </c>
      <c r="H272" s="24">
        <f>F272*AE272</f>
        <v>0</v>
      </c>
      <c r="I272" s="24">
        <f>J272-H272</f>
        <v>0</v>
      </c>
      <c r="J272" s="24">
        <f>F272*G272</f>
        <v>0</v>
      </c>
      <c r="K272" s="24">
        <v>0.036</v>
      </c>
      <c r="L272" s="24">
        <f>F272*K272</f>
        <v>0.10799999999999998</v>
      </c>
      <c r="M272" s="36" t="s">
        <v>1523</v>
      </c>
      <c r="N272" s="36" t="s">
        <v>1526</v>
      </c>
      <c r="O272" s="24">
        <f>IF(N272="5",I272,0)</f>
        <v>0</v>
      </c>
      <c r="Z272" s="24">
        <f>IF(AD272=0,J272,0)</f>
        <v>0</v>
      </c>
      <c r="AA272" s="24">
        <f>IF(AD272=15,J272,0)</f>
        <v>0</v>
      </c>
      <c r="AB272" s="24">
        <f>IF(AD272=21,J272,0)</f>
        <v>0</v>
      </c>
      <c r="AD272" s="39">
        <v>15</v>
      </c>
      <c r="AE272" s="39">
        <f>G272*1</f>
        <v>0</v>
      </c>
      <c r="AF272" s="39">
        <f>G272*(1-1)</f>
        <v>0</v>
      </c>
      <c r="AM272" s="39">
        <f>F272*AE272</f>
        <v>0</v>
      </c>
      <c r="AN272" s="39">
        <f>F272*AF272</f>
        <v>0</v>
      </c>
      <c r="AO272" s="40" t="s">
        <v>1543</v>
      </c>
      <c r="AP272" s="40" t="s">
        <v>1598</v>
      </c>
      <c r="AQ272" s="31" t="s">
        <v>1608</v>
      </c>
    </row>
    <row r="273" spans="1:37" ht="12.75">
      <c r="A273" s="4"/>
      <c r="B273" s="14" t="s">
        <v>589</v>
      </c>
      <c r="C273" s="14" t="s">
        <v>761</v>
      </c>
      <c r="D273" s="104" t="s">
        <v>1182</v>
      </c>
      <c r="E273" s="105"/>
      <c r="F273" s="105"/>
      <c r="G273" s="105"/>
      <c r="H273" s="42">
        <f>SUM(H274:H274)</f>
        <v>0</v>
      </c>
      <c r="I273" s="42">
        <f>SUM(I274:I274)</f>
        <v>0</v>
      </c>
      <c r="J273" s="42">
        <f>H273+I273</f>
        <v>0</v>
      </c>
      <c r="K273" s="31"/>
      <c r="L273" s="42">
        <f>SUM(L274:L274)</f>
        <v>0.02118</v>
      </c>
      <c r="M273" s="31"/>
      <c r="P273" s="42">
        <f>IF(Q273="PR",J273,SUM(O274:O274))</f>
        <v>0</v>
      </c>
      <c r="Q273" s="31" t="s">
        <v>1530</v>
      </c>
      <c r="R273" s="42">
        <f>IF(Q273="HS",H273,0)</f>
        <v>0</v>
      </c>
      <c r="S273" s="42">
        <f>IF(Q273="HS",I273-P273,0)</f>
        <v>0</v>
      </c>
      <c r="T273" s="42">
        <f>IF(Q273="PS",H273,0)</f>
        <v>0</v>
      </c>
      <c r="U273" s="42">
        <f>IF(Q273="PS",I273-P273,0)</f>
        <v>0</v>
      </c>
      <c r="V273" s="42">
        <f>IF(Q273="MP",H273,0)</f>
        <v>0</v>
      </c>
      <c r="W273" s="42">
        <f>IF(Q273="MP",I273-P273,0)</f>
        <v>0</v>
      </c>
      <c r="X273" s="42">
        <f>IF(Q273="OM",H273,0)</f>
        <v>0</v>
      </c>
      <c r="Y273" s="31" t="s">
        <v>589</v>
      </c>
      <c r="AI273" s="42">
        <f>SUM(Z274:Z274)</f>
        <v>0</v>
      </c>
      <c r="AJ273" s="42">
        <f>SUM(AA274:AA274)</f>
        <v>0</v>
      </c>
      <c r="AK273" s="42">
        <f>SUM(AB274:AB274)</f>
        <v>0</v>
      </c>
    </row>
    <row r="274" spans="1:43" ht="12.75">
      <c r="A274" s="5" t="s">
        <v>164</v>
      </c>
      <c r="B274" s="5" t="s">
        <v>589</v>
      </c>
      <c r="C274" s="5" t="s">
        <v>762</v>
      </c>
      <c r="D274" s="5" t="s">
        <v>1183</v>
      </c>
      <c r="E274" s="5" t="s">
        <v>1494</v>
      </c>
      <c r="F274" s="22">
        <v>3</v>
      </c>
      <c r="G274" s="22">
        <v>0</v>
      </c>
      <c r="H274" s="22">
        <f>F274*AE274</f>
        <v>0</v>
      </c>
      <c r="I274" s="22">
        <f>J274-H274</f>
        <v>0</v>
      </c>
      <c r="J274" s="22">
        <f>F274*G274</f>
        <v>0</v>
      </c>
      <c r="K274" s="22">
        <v>0.00706</v>
      </c>
      <c r="L274" s="22">
        <f>F274*K274</f>
        <v>0.02118</v>
      </c>
      <c r="M274" s="35" t="s">
        <v>1523</v>
      </c>
      <c r="N274" s="35" t="s">
        <v>7</v>
      </c>
      <c r="O274" s="22">
        <f>IF(N274="5",I274,0)</f>
        <v>0</v>
      </c>
      <c r="Z274" s="22">
        <f>IF(AD274=0,J274,0)</f>
        <v>0</v>
      </c>
      <c r="AA274" s="22">
        <f>IF(AD274=15,J274,0)</f>
        <v>0</v>
      </c>
      <c r="AB274" s="22">
        <f>IF(AD274=21,J274,0)</f>
        <v>0</v>
      </c>
      <c r="AD274" s="39">
        <v>15</v>
      </c>
      <c r="AE274" s="39">
        <f>G274*0</f>
        <v>0</v>
      </c>
      <c r="AF274" s="39">
        <f>G274*(1-0)</f>
        <v>0</v>
      </c>
      <c r="AM274" s="39">
        <f>F274*AE274</f>
        <v>0</v>
      </c>
      <c r="AN274" s="39">
        <f>F274*AF274</f>
        <v>0</v>
      </c>
      <c r="AO274" s="40" t="s">
        <v>1567</v>
      </c>
      <c r="AP274" s="40" t="s">
        <v>1598</v>
      </c>
      <c r="AQ274" s="31" t="s">
        <v>1608</v>
      </c>
    </row>
    <row r="275" ht="12.75">
      <c r="D275" s="18" t="s">
        <v>1184</v>
      </c>
    </row>
    <row r="276" spans="1:37" ht="12.75">
      <c r="A276" s="4"/>
      <c r="B276" s="14" t="s">
        <v>589</v>
      </c>
      <c r="C276" s="14" t="s">
        <v>763</v>
      </c>
      <c r="D276" s="104" t="s">
        <v>1185</v>
      </c>
      <c r="E276" s="105"/>
      <c r="F276" s="105"/>
      <c r="G276" s="105"/>
      <c r="H276" s="42">
        <f>SUM(H277:H280)</f>
        <v>0</v>
      </c>
      <c r="I276" s="42">
        <f>SUM(I277:I280)</f>
        <v>0</v>
      </c>
      <c r="J276" s="42">
        <f>H276+I276</f>
        <v>0</v>
      </c>
      <c r="K276" s="31"/>
      <c r="L276" s="42">
        <f>SUM(L277:L280)</f>
        <v>0.46298999999999996</v>
      </c>
      <c r="M276" s="31"/>
      <c r="P276" s="42">
        <f>IF(Q276="PR",J276,SUM(O277:O280))</f>
        <v>0</v>
      </c>
      <c r="Q276" s="31" t="s">
        <v>1530</v>
      </c>
      <c r="R276" s="42">
        <f>IF(Q276="HS",H276,0)</f>
        <v>0</v>
      </c>
      <c r="S276" s="42">
        <f>IF(Q276="HS",I276-P276,0)</f>
        <v>0</v>
      </c>
      <c r="T276" s="42">
        <f>IF(Q276="PS",H276,0)</f>
        <v>0</v>
      </c>
      <c r="U276" s="42">
        <f>IF(Q276="PS",I276-P276,0)</f>
        <v>0</v>
      </c>
      <c r="V276" s="42">
        <f>IF(Q276="MP",H276,0)</f>
        <v>0</v>
      </c>
      <c r="W276" s="42">
        <f>IF(Q276="MP",I276-P276,0)</f>
        <v>0</v>
      </c>
      <c r="X276" s="42">
        <f>IF(Q276="OM",H276,0)</f>
        <v>0</v>
      </c>
      <c r="Y276" s="31" t="s">
        <v>589</v>
      </c>
      <c r="AI276" s="42">
        <f>SUM(Z277:Z280)</f>
        <v>0</v>
      </c>
      <c r="AJ276" s="42">
        <f>SUM(AA277:AA280)</f>
        <v>0</v>
      </c>
      <c r="AK276" s="42">
        <f>SUM(AB277:AB280)</f>
        <v>0</v>
      </c>
    </row>
    <row r="277" spans="1:43" ht="12.75">
      <c r="A277" s="5" t="s">
        <v>165</v>
      </c>
      <c r="B277" s="5" t="s">
        <v>589</v>
      </c>
      <c r="C277" s="5" t="s">
        <v>764</v>
      </c>
      <c r="D277" s="5" t="s">
        <v>1186</v>
      </c>
      <c r="E277" s="5" t="s">
        <v>1493</v>
      </c>
      <c r="F277" s="22">
        <v>18</v>
      </c>
      <c r="G277" s="22">
        <v>0</v>
      </c>
      <c r="H277" s="22">
        <f>F277*AE277</f>
        <v>0</v>
      </c>
      <c r="I277" s="22">
        <f>J277-H277</f>
        <v>0</v>
      </c>
      <c r="J277" s="22">
        <f>F277*G277</f>
        <v>0</v>
      </c>
      <c r="K277" s="22">
        <v>0.02395</v>
      </c>
      <c r="L277" s="22">
        <f>F277*K277</f>
        <v>0.4311</v>
      </c>
      <c r="M277" s="35" t="s">
        <v>1523</v>
      </c>
      <c r="N277" s="35" t="s">
        <v>9</v>
      </c>
      <c r="O277" s="22">
        <f>IF(N277="5",I277,0)</f>
        <v>0</v>
      </c>
      <c r="Z277" s="22">
        <f>IF(AD277=0,J277,0)</f>
        <v>0</v>
      </c>
      <c r="AA277" s="22">
        <f>IF(AD277=15,J277,0)</f>
        <v>0</v>
      </c>
      <c r="AB277" s="22">
        <f>IF(AD277=21,J277,0)</f>
        <v>0</v>
      </c>
      <c r="AD277" s="39">
        <v>15</v>
      </c>
      <c r="AE277" s="39">
        <f>G277*0.0013986013986014</f>
        <v>0</v>
      </c>
      <c r="AF277" s="39">
        <f>G277*(1-0.0013986013986014)</f>
        <v>0</v>
      </c>
      <c r="AM277" s="39">
        <f>F277*AE277</f>
        <v>0</v>
      </c>
      <c r="AN277" s="39">
        <f>F277*AF277</f>
        <v>0</v>
      </c>
      <c r="AO277" s="40" t="s">
        <v>1568</v>
      </c>
      <c r="AP277" s="40" t="s">
        <v>1598</v>
      </c>
      <c r="AQ277" s="31" t="s">
        <v>1608</v>
      </c>
    </row>
    <row r="278" spans="4:6" ht="10.5" customHeight="1">
      <c r="D278" s="17" t="s">
        <v>1187</v>
      </c>
      <c r="F278" s="23">
        <v>18</v>
      </c>
    </row>
    <row r="279" spans="1:43" ht="12.75">
      <c r="A279" s="5" t="s">
        <v>166</v>
      </c>
      <c r="B279" s="5" t="s">
        <v>589</v>
      </c>
      <c r="C279" s="5" t="s">
        <v>765</v>
      </c>
      <c r="D279" s="5" t="s">
        <v>1188</v>
      </c>
      <c r="E279" s="5" t="s">
        <v>1494</v>
      </c>
      <c r="F279" s="22">
        <v>3</v>
      </c>
      <c r="G279" s="22">
        <v>0</v>
      </c>
      <c r="H279" s="22">
        <f>F279*AE279</f>
        <v>0</v>
      </c>
      <c r="I279" s="22">
        <f>J279-H279</f>
        <v>0</v>
      </c>
      <c r="J279" s="22">
        <f>F279*G279</f>
        <v>0</v>
      </c>
      <c r="K279" s="22">
        <v>0.0086</v>
      </c>
      <c r="L279" s="22">
        <f>F279*K279</f>
        <v>0.0258</v>
      </c>
      <c r="M279" s="35" t="s">
        <v>1523</v>
      </c>
      <c r="N279" s="35" t="s">
        <v>7</v>
      </c>
      <c r="O279" s="22">
        <f>IF(N279="5",I279,0)</f>
        <v>0</v>
      </c>
      <c r="Z279" s="22">
        <f>IF(AD279=0,J279,0)</f>
        <v>0</v>
      </c>
      <c r="AA279" s="22">
        <f>IF(AD279=15,J279,0)</f>
        <v>0</v>
      </c>
      <c r="AB279" s="22">
        <f>IF(AD279=21,J279,0)</f>
        <v>0</v>
      </c>
      <c r="AD279" s="39">
        <v>15</v>
      </c>
      <c r="AE279" s="39">
        <f>G279*0.866242952332137</f>
        <v>0</v>
      </c>
      <c r="AF279" s="39">
        <f>G279*(1-0.866242952332137)</f>
        <v>0</v>
      </c>
      <c r="AM279" s="39">
        <f>F279*AE279</f>
        <v>0</v>
      </c>
      <c r="AN279" s="39">
        <f>F279*AF279</f>
        <v>0</v>
      </c>
      <c r="AO279" s="40" t="s">
        <v>1568</v>
      </c>
      <c r="AP279" s="40" t="s">
        <v>1598</v>
      </c>
      <c r="AQ279" s="31" t="s">
        <v>1608</v>
      </c>
    </row>
    <row r="280" spans="1:43" ht="12.75">
      <c r="A280" s="5" t="s">
        <v>167</v>
      </c>
      <c r="B280" s="5" t="s">
        <v>589</v>
      </c>
      <c r="C280" s="5" t="s">
        <v>766</v>
      </c>
      <c r="D280" s="5" t="s">
        <v>1189</v>
      </c>
      <c r="E280" s="5" t="s">
        <v>1494</v>
      </c>
      <c r="F280" s="22">
        <v>3</v>
      </c>
      <c r="G280" s="22">
        <v>0</v>
      </c>
      <c r="H280" s="22">
        <f>F280*AE280</f>
        <v>0</v>
      </c>
      <c r="I280" s="22">
        <f>J280-H280</f>
        <v>0</v>
      </c>
      <c r="J280" s="22">
        <f>F280*G280</f>
        <v>0</v>
      </c>
      <c r="K280" s="22">
        <v>0.00203</v>
      </c>
      <c r="L280" s="22">
        <f>F280*K280</f>
        <v>0.00609</v>
      </c>
      <c r="M280" s="35" t="s">
        <v>1523</v>
      </c>
      <c r="N280" s="35" t="s">
        <v>7</v>
      </c>
      <c r="O280" s="22">
        <f>IF(N280="5",I280,0)</f>
        <v>0</v>
      </c>
      <c r="Z280" s="22">
        <f>IF(AD280=0,J280,0)</f>
        <v>0</v>
      </c>
      <c r="AA280" s="22">
        <f>IF(AD280=15,J280,0)</f>
        <v>0</v>
      </c>
      <c r="AB280" s="22">
        <f>IF(AD280=21,J280,0)</f>
        <v>0</v>
      </c>
      <c r="AD280" s="39">
        <v>15</v>
      </c>
      <c r="AE280" s="39">
        <f>G280*1</f>
        <v>0</v>
      </c>
      <c r="AF280" s="39">
        <f>G280*(1-1)</f>
        <v>0</v>
      </c>
      <c r="AM280" s="39">
        <f>F280*AE280</f>
        <v>0</v>
      </c>
      <c r="AN280" s="39">
        <f>F280*AF280</f>
        <v>0</v>
      </c>
      <c r="AO280" s="40" t="s">
        <v>1568</v>
      </c>
      <c r="AP280" s="40" t="s">
        <v>1598</v>
      </c>
      <c r="AQ280" s="31" t="s">
        <v>1608</v>
      </c>
    </row>
    <row r="281" spans="1:37" ht="12.75">
      <c r="A281" s="4"/>
      <c r="B281" s="14" t="s">
        <v>589</v>
      </c>
      <c r="C281" s="14" t="s">
        <v>767</v>
      </c>
      <c r="D281" s="104" t="s">
        <v>1190</v>
      </c>
      <c r="E281" s="105"/>
      <c r="F281" s="105"/>
      <c r="G281" s="105"/>
      <c r="H281" s="42">
        <f>SUM(H282:H283)</f>
        <v>0</v>
      </c>
      <c r="I281" s="42">
        <f>SUM(I282:I283)</f>
        <v>0</v>
      </c>
      <c r="J281" s="42">
        <f>H281+I281</f>
        <v>0</v>
      </c>
      <c r="K281" s="31"/>
      <c r="L281" s="42">
        <f>SUM(L282:L283)</f>
        <v>0.942464</v>
      </c>
      <c r="M281" s="31"/>
      <c r="P281" s="42">
        <f>IF(Q281="PR",J281,SUM(O282:O283))</f>
        <v>0</v>
      </c>
      <c r="Q281" s="31" t="s">
        <v>1530</v>
      </c>
      <c r="R281" s="42">
        <f>IF(Q281="HS",H281,0)</f>
        <v>0</v>
      </c>
      <c r="S281" s="42">
        <f>IF(Q281="HS",I281-P281,0)</f>
        <v>0</v>
      </c>
      <c r="T281" s="42">
        <f>IF(Q281="PS",H281,0)</f>
        <v>0</v>
      </c>
      <c r="U281" s="42">
        <f>IF(Q281="PS",I281-P281,0)</f>
        <v>0</v>
      </c>
      <c r="V281" s="42">
        <f>IF(Q281="MP",H281,0)</f>
        <v>0</v>
      </c>
      <c r="W281" s="42">
        <f>IF(Q281="MP",I281-P281,0)</f>
        <v>0</v>
      </c>
      <c r="X281" s="42">
        <f>IF(Q281="OM",H281,0)</f>
        <v>0</v>
      </c>
      <c r="Y281" s="31" t="s">
        <v>589</v>
      </c>
      <c r="AI281" s="42">
        <f>SUM(Z282:Z283)</f>
        <v>0</v>
      </c>
      <c r="AJ281" s="42">
        <f>SUM(AA282:AA283)</f>
        <v>0</v>
      </c>
      <c r="AK281" s="42">
        <f>SUM(AB282:AB283)</f>
        <v>0</v>
      </c>
    </row>
    <row r="282" spans="1:43" ht="12.75">
      <c r="A282" s="5" t="s">
        <v>168</v>
      </c>
      <c r="B282" s="5" t="s">
        <v>589</v>
      </c>
      <c r="C282" s="5" t="s">
        <v>768</v>
      </c>
      <c r="D282" s="5" t="s">
        <v>1191</v>
      </c>
      <c r="E282" s="5" t="s">
        <v>1493</v>
      </c>
      <c r="F282" s="22">
        <v>159.2</v>
      </c>
      <c r="G282" s="22">
        <v>0</v>
      </c>
      <c r="H282" s="22">
        <f>F282*AE282</f>
        <v>0</v>
      </c>
      <c r="I282" s="22">
        <f>J282-H282</f>
        <v>0</v>
      </c>
      <c r="J282" s="22">
        <f>F282*G282</f>
        <v>0</v>
      </c>
      <c r="K282" s="22">
        <v>0.00449</v>
      </c>
      <c r="L282" s="22">
        <f>F282*K282</f>
        <v>0.714808</v>
      </c>
      <c r="M282" s="35" t="s">
        <v>1523</v>
      </c>
      <c r="N282" s="35" t="s">
        <v>7</v>
      </c>
      <c r="O282" s="22">
        <f>IF(N282="5",I282,0)</f>
        <v>0</v>
      </c>
      <c r="Z282" s="22">
        <f>IF(AD282=0,J282,0)</f>
        <v>0</v>
      </c>
      <c r="AA282" s="22">
        <f>IF(AD282=15,J282,0)</f>
        <v>0</v>
      </c>
      <c r="AB282" s="22">
        <f>IF(AD282=21,J282,0)</f>
        <v>0</v>
      </c>
      <c r="AD282" s="39">
        <v>15</v>
      </c>
      <c r="AE282" s="39">
        <f>G282*0.568561690524881</f>
        <v>0</v>
      </c>
      <c r="AF282" s="39">
        <f>G282*(1-0.568561690524881)</f>
        <v>0</v>
      </c>
      <c r="AM282" s="39">
        <f>F282*AE282</f>
        <v>0</v>
      </c>
      <c r="AN282" s="39">
        <f>F282*AF282</f>
        <v>0</v>
      </c>
      <c r="AO282" s="40" t="s">
        <v>1569</v>
      </c>
      <c r="AP282" s="40" t="s">
        <v>1598</v>
      </c>
      <c r="AQ282" s="31" t="s">
        <v>1608</v>
      </c>
    </row>
    <row r="283" spans="1:43" ht="12.75">
      <c r="A283" s="6" t="s">
        <v>169</v>
      </c>
      <c r="B283" s="6" t="s">
        <v>589</v>
      </c>
      <c r="C283" s="6" t="s">
        <v>769</v>
      </c>
      <c r="D283" s="6" t="s">
        <v>1192</v>
      </c>
      <c r="E283" s="6" t="s">
        <v>1493</v>
      </c>
      <c r="F283" s="24">
        <v>175.12</v>
      </c>
      <c r="G283" s="24">
        <v>0</v>
      </c>
      <c r="H283" s="24">
        <f>F283*AE283</f>
        <v>0</v>
      </c>
      <c r="I283" s="24">
        <f>J283-H283</f>
        <v>0</v>
      </c>
      <c r="J283" s="24">
        <f>F283*G283</f>
        <v>0</v>
      </c>
      <c r="K283" s="24">
        <v>0.0013</v>
      </c>
      <c r="L283" s="24">
        <f>F283*K283</f>
        <v>0.227656</v>
      </c>
      <c r="M283" s="36" t="s">
        <v>1523</v>
      </c>
      <c r="N283" s="36" t="s">
        <v>1526</v>
      </c>
      <c r="O283" s="24">
        <f>IF(N283="5",I283,0)</f>
        <v>0</v>
      </c>
      <c r="Z283" s="24">
        <f>IF(AD283=0,J283,0)</f>
        <v>0</v>
      </c>
      <c r="AA283" s="24">
        <f>IF(AD283=15,J283,0)</f>
        <v>0</v>
      </c>
      <c r="AB283" s="24">
        <f>IF(AD283=21,J283,0)</f>
        <v>0</v>
      </c>
      <c r="AD283" s="39">
        <v>15</v>
      </c>
      <c r="AE283" s="39">
        <f>G283*1</f>
        <v>0</v>
      </c>
      <c r="AF283" s="39">
        <f>G283*(1-1)</f>
        <v>0</v>
      </c>
      <c r="AM283" s="39">
        <f>F283*AE283</f>
        <v>0</v>
      </c>
      <c r="AN283" s="39">
        <f>F283*AF283</f>
        <v>0</v>
      </c>
      <c r="AO283" s="40" t="s">
        <v>1569</v>
      </c>
      <c r="AP283" s="40" t="s">
        <v>1598</v>
      </c>
      <c r="AQ283" s="31" t="s">
        <v>1608</v>
      </c>
    </row>
    <row r="284" spans="4:6" ht="10.5" customHeight="1">
      <c r="D284" s="17" t="s">
        <v>1193</v>
      </c>
      <c r="F284" s="23">
        <v>159.2</v>
      </c>
    </row>
    <row r="285" spans="4:6" ht="10.5" customHeight="1">
      <c r="D285" s="17" t="s">
        <v>1194</v>
      </c>
      <c r="F285" s="23">
        <v>15.92</v>
      </c>
    </row>
    <row r="286" spans="1:37" ht="12.75">
      <c r="A286" s="4"/>
      <c r="B286" s="14" t="s">
        <v>589</v>
      </c>
      <c r="C286" s="14" t="s">
        <v>622</v>
      </c>
      <c r="D286" s="104" t="s">
        <v>995</v>
      </c>
      <c r="E286" s="105"/>
      <c r="F286" s="105"/>
      <c r="G286" s="105"/>
      <c r="H286" s="42">
        <f>SUM(H287:H303)</f>
        <v>0</v>
      </c>
      <c r="I286" s="42">
        <f>SUM(I287:I303)</f>
        <v>0</v>
      </c>
      <c r="J286" s="42">
        <f>H286+I286</f>
        <v>0</v>
      </c>
      <c r="K286" s="31"/>
      <c r="L286" s="42">
        <f>SUM(L287:L303)</f>
        <v>1.3689719999999999</v>
      </c>
      <c r="M286" s="31"/>
      <c r="P286" s="42">
        <f>IF(Q286="PR",J286,SUM(O287:O303))</f>
        <v>0</v>
      </c>
      <c r="Q286" s="31" t="s">
        <v>1530</v>
      </c>
      <c r="R286" s="42">
        <f>IF(Q286="HS",H286,0)</f>
        <v>0</v>
      </c>
      <c r="S286" s="42">
        <f>IF(Q286="HS",I286-P286,0)</f>
        <v>0</v>
      </c>
      <c r="T286" s="42">
        <f>IF(Q286="PS",H286,0)</f>
        <v>0</v>
      </c>
      <c r="U286" s="42">
        <f>IF(Q286="PS",I286-P286,0)</f>
        <v>0</v>
      </c>
      <c r="V286" s="42">
        <f>IF(Q286="MP",H286,0)</f>
        <v>0</v>
      </c>
      <c r="W286" s="42">
        <f>IF(Q286="MP",I286-P286,0)</f>
        <v>0</v>
      </c>
      <c r="X286" s="42">
        <f>IF(Q286="OM",H286,0)</f>
        <v>0</v>
      </c>
      <c r="Y286" s="31" t="s">
        <v>589</v>
      </c>
      <c r="AI286" s="42">
        <f>SUM(Z287:Z303)</f>
        <v>0</v>
      </c>
      <c r="AJ286" s="42">
        <f>SUM(AA287:AA303)</f>
        <v>0</v>
      </c>
      <c r="AK286" s="42">
        <f>SUM(AB287:AB303)</f>
        <v>0</v>
      </c>
    </row>
    <row r="287" spans="1:43" ht="12.75">
      <c r="A287" s="5" t="s">
        <v>170</v>
      </c>
      <c r="B287" s="5" t="s">
        <v>589</v>
      </c>
      <c r="C287" s="5" t="s">
        <v>625</v>
      </c>
      <c r="D287" s="5" t="s">
        <v>998</v>
      </c>
      <c r="E287" s="5" t="s">
        <v>1494</v>
      </c>
      <c r="F287" s="22">
        <v>3</v>
      </c>
      <c r="G287" s="22">
        <v>0</v>
      </c>
      <c r="H287" s="22">
        <f aca="true" t="shared" si="78" ref="H287:H299">F287*AE287</f>
        <v>0</v>
      </c>
      <c r="I287" s="22">
        <f aca="true" t="shared" si="79" ref="I287:I299">J287-H287</f>
        <v>0</v>
      </c>
      <c r="J287" s="22">
        <f aca="true" t="shared" si="80" ref="J287:J299">F287*G287</f>
        <v>0</v>
      </c>
      <c r="K287" s="22">
        <v>0</v>
      </c>
      <c r="L287" s="22">
        <f aca="true" t="shared" si="81" ref="L287:L299">F287*K287</f>
        <v>0</v>
      </c>
      <c r="M287" s="35" t="s">
        <v>1523</v>
      </c>
      <c r="N287" s="35" t="s">
        <v>7</v>
      </c>
      <c r="O287" s="22">
        <f aca="true" t="shared" si="82" ref="O287:O299">IF(N287="5",I287,0)</f>
        <v>0</v>
      </c>
      <c r="Z287" s="22">
        <f aca="true" t="shared" si="83" ref="Z287:Z299">IF(AD287=0,J287,0)</f>
        <v>0</v>
      </c>
      <c r="AA287" s="22">
        <f aca="true" t="shared" si="84" ref="AA287:AA299">IF(AD287=15,J287,0)</f>
        <v>0</v>
      </c>
      <c r="AB287" s="22">
        <f aca="true" t="shared" si="85" ref="AB287:AB299">IF(AD287=21,J287,0)</f>
        <v>0</v>
      </c>
      <c r="AD287" s="39">
        <v>15</v>
      </c>
      <c r="AE287" s="39">
        <f>G287*0</f>
        <v>0</v>
      </c>
      <c r="AF287" s="39">
        <f>G287*(1-0)</f>
        <v>0</v>
      </c>
      <c r="AM287" s="39">
        <f aca="true" t="shared" si="86" ref="AM287:AM299">F287*AE287</f>
        <v>0</v>
      </c>
      <c r="AN287" s="39">
        <f aca="true" t="shared" si="87" ref="AN287:AN299">F287*AF287</f>
        <v>0</v>
      </c>
      <c r="AO287" s="40" t="s">
        <v>1544</v>
      </c>
      <c r="AP287" s="40" t="s">
        <v>1599</v>
      </c>
      <c r="AQ287" s="31" t="s">
        <v>1608</v>
      </c>
    </row>
    <row r="288" spans="1:43" ht="12.75">
      <c r="A288" s="5" t="s">
        <v>171</v>
      </c>
      <c r="B288" s="5" t="s">
        <v>589</v>
      </c>
      <c r="C288" s="5" t="s">
        <v>626</v>
      </c>
      <c r="D288" s="5" t="s">
        <v>999</v>
      </c>
      <c r="E288" s="5" t="s">
        <v>1494</v>
      </c>
      <c r="F288" s="22">
        <v>3</v>
      </c>
      <c r="G288" s="22">
        <v>0</v>
      </c>
      <c r="H288" s="22">
        <f t="shared" si="78"/>
        <v>0</v>
      </c>
      <c r="I288" s="22">
        <f t="shared" si="79"/>
        <v>0</v>
      </c>
      <c r="J288" s="22">
        <f t="shared" si="80"/>
        <v>0</v>
      </c>
      <c r="K288" s="22">
        <v>1E-05</v>
      </c>
      <c r="L288" s="22">
        <f t="shared" si="81"/>
        <v>3.0000000000000004E-05</v>
      </c>
      <c r="M288" s="35" t="s">
        <v>1523</v>
      </c>
      <c r="N288" s="35" t="s">
        <v>7</v>
      </c>
      <c r="O288" s="22">
        <f t="shared" si="82"/>
        <v>0</v>
      </c>
      <c r="Z288" s="22">
        <f t="shared" si="83"/>
        <v>0</v>
      </c>
      <c r="AA288" s="22">
        <f t="shared" si="84"/>
        <v>0</v>
      </c>
      <c r="AB288" s="22">
        <f t="shared" si="85"/>
        <v>0</v>
      </c>
      <c r="AD288" s="39">
        <v>15</v>
      </c>
      <c r="AE288" s="39">
        <f>G288*0.0277644230769231</f>
        <v>0</v>
      </c>
      <c r="AF288" s="39">
        <f>G288*(1-0.0277644230769231)</f>
        <v>0</v>
      </c>
      <c r="AM288" s="39">
        <f t="shared" si="86"/>
        <v>0</v>
      </c>
      <c r="AN288" s="39">
        <f t="shared" si="87"/>
        <v>0</v>
      </c>
      <c r="AO288" s="40" t="s">
        <v>1544</v>
      </c>
      <c r="AP288" s="40" t="s">
        <v>1599</v>
      </c>
      <c r="AQ288" s="31" t="s">
        <v>1608</v>
      </c>
    </row>
    <row r="289" spans="1:43" ht="12.75">
      <c r="A289" s="6" t="s">
        <v>172</v>
      </c>
      <c r="B289" s="6" t="s">
        <v>589</v>
      </c>
      <c r="C289" s="6" t="s">
        <v>770</v>
      </c>
      <c r="D289" s="6" t="s">
        <v>1195</v>
      </c>
      <c r="E289" s="6" t="s">
        <v>1494</v>
      </c>
      <c r="F289" s="24">
        <v>10</v>
      </c>
      <c r="G289" s="24">
        <v>0</v>
      </c>
      <c r="H289" s="24">
        <f t="shared" si="78"/>
        <v>0</v>
      </c>
      <c r="I289" s="24">
        <f t="shared" si="79"/>
        <v>0</v>
      </c>
      <c r="J289" s="24">
        <f t="shared" si="80"/>
        <v>0</v>
      </c>
      <c r="K289" s="24">
        <v>0.0138</v>
      </c>
      <c r="L289" s="24">
        <f t="shared" si="81"/>
        <v>0.138</v>
      </c>
      <c r="M289" s="36" t="s">
        <v>1523</v>
      </c>
      <c r="N289" s="36" t="s">
        <v>1526</v>
      </c>
      <c r="O289" s="24">
        <f t="shared" si="82"/>
        <v>0</v>
      </c>
      <c r="Z289" s="24">
        <f t="shared" si="83"/>
        <v>0</v>
      </c>
      <c r="AA289" s="24">
        <f t="shared" si="84"/>
        <v>0</v>
      </c>
      <c r="AB289" s="24">
        <f t="shared" si="85"/>
        <v>0</v>
      </c>
      <c r="AD289" s="39">
        <v>15</v>
      </c>
      <c r="AE289" s="39">
        <f>G289*1</f>
        <v>0</v>
      </c>
      <c r="AF289" s="39">
        <f>G289*(1-1)</f>
        <v>0</v>
      </c>
      <c r="AM289" s="39">
        <f t="shared" si="86"/>
        <v>0</v>
      </c>
      <c r="AN289" s="39">
        <f t="shared" si="87"/>
        <v>0</v>
      </c>
      <c r="AO289" s="40" t="s">
        <v>1544</v>
      </c>
      <c r="AP289" s="40" t="s">
        <v>1599</v>
      </c>
      <c r="AQ289" s="31" t="s">
        <v>1608</v>
      </c>
    </row>
    <row r="290" spans="1:43" ht="12.75">
      <c r="A290" s="6" t="s">
        <v>173</v>
      </c>
      <c r="B290" s="6" t="s">
        <v>589</v>
      </c>
      <c r="C290" s="6" t="s">
        <v>771</v>
      </c>
      <c r="D290" s="6" t="s">
        <v>1196</v>
      </c>
      <c r="E290" s="6" t="s">
        <v>1494</v>
      </c>
      <c r="F290" s="24">
        <v>11</v>
      </c>
      <c r="G290" s="24">
        <v>0</v>
      </c>
      <c r="H290" s="24">
        <f t="shared" si="78"/>
        <v>0</v>
      </c>
      <c r="I290" s="24">
        <f t="shared" si="79"/>
        <v>0</v>
      </c>
      <c r="J290" s="24">
        <f t="shared" si="80"/>
        <v>0</v>
      </c>
      <c r="K290" s="24">
        <v>0.0205</v>
      </c>
      <c r="L290" s="24">
        <f t="shared" si="81"/>
        <v>0.2255</v>
      </c>
      <c r="M290" s="36" t="s">
        <v>1523</v>
      </c>
      <c r="N290" s="36" t="s">
        <v>1526</v>
      </c>
      <c r="O290" s="24">
        <f t="shared" si="82"/>
        <v>0</v>
      </c>
      <c r="Z290" s="24">
        <f t="shared" si="83"/>
        <v>0</v>
      </c>
      <c r="AA290" s="24">
        <f t="shared" si="84"/>
        <v>0</v>
      </c>
      <c r="AB290" s="24">
        <f t="shared" si="85"/>
        <v>0</v>
      </c>
      <c r="AD290" s="39">
        <v>15</v>
      </c>
      <c r="AE290" s="39">
        <f>G290*1</f>
        <v>0</v>
      </c>
      <c r="AF290" s="39">
        <f>G290*(1-1)</f>
        <v>0</v>
      </c>
      <c r="AM290" s="39">
        <f t="shared" si="86"/>
        <v>0</v>
      </c>
      <c r="AN290" s="39">
        <f t="shared" si="87"/>
        <v>0</v>
      </c>
      <c r="AO290" s="40" t="s">
        <v>1544</v>
      </c>
      <c r="AP290" s="40" t="s">
        <v>1599</v>
      </c>
      <c r="AQ290" s="31" t="s">
        <v>1608</v>
      </c>
    </row>
    <row r="291" spans="1:43" ht="12.75">
      <c r="A291" s="6" t="s">
        <v>174</v>
      </c>
      <c r="B291" s="6" t="s">
        <v>589</v>
      </c>
      <c r="C291" s="6" t="s">
        <v>772</v>
      </c>
      <c r="D291" s="6" t="s">
        <v>1197</v>
      </c>
      <c r="E291" s="6" t="s">
        <v>1494</v>
      </c>
      <c r="F291" s="24">
        <v>10</v>
      </c>
      <c r="G291" s="24">
        <v>0</v>
      </c>
      <c r="H291" s="24">
        <f t="shared" si="78"/>
        <v>0</v>
      </c>
      <c r="I291" s="24">
        <f t="shared" si="79"/>
        <v>0</v>
      </c>
      <c r="J291" s="24">
        <f t="shared" si="80"/>
        <v>0</v>
      </c>
      <c r="K291" s="24">
        <v>0.0008</v>
      </c>
      <c r="L291" s="24">
        <f t="shared" si="81"/>
        <v>0.008</v>
      </c>
      <c r="M291" s="36" t="s">
        <v>1523</v>
      </c>
      <c r="N291" s="36" t="s">
        <v>1526</v>
      </c>
      <c r="O291" s="24">
        <f t="shared" si="82"/>
        <v>0</v>
      </c>
      <c r="Z291" s="24">
        <f t="shared" si="83"/>
        <v>0</v>
      </c>
      <c r="AA291" s="24">
        <f t="shared" si="84"/>
        <v>0</v>
      </c>
      <c r="AB291" s="24">
        <f t="shared" si="85"/>
        <v>0</v>
      </c>
      <c r="AD291" s="39">
        <v>15</v>
      </c>
      <c r="AE291" s="39">
        <f>G291*1</f>
        <v>0</v>
      </c>
      <c r="AF291" s="39">
        <f>G291*(1-1)</f>
        <v>0</v>
      </c>
      <c r="AM291" s="39">
        <f t="shared" si="86"/>
        <v>0</v>
      </c>
      <c r="AN291" s="39">
        <f t="shared" si="87"/>
        <v>0</v>
      </c>
      <c r="AO291" s="40" t="s">
        <v>1544</v>
      </c>
      <c r="AP291" s="40" t="s">
        <v>1599</v>
      </c>
      <c r="AQ291" s="31" t="s">
        <v>1608</v>
      </c>
    </row>
    <row r="292" spans="1:43" ht="12.75">
      <c r="A292" s="6" t="s">
        <v>175</v>
      </c>
      <c r="B292" s="6" t="s">
        <v>589</v>
      </c>
      <c r="C292" s="6" t="s">
        <v>773</v>
      </c>
      <c r="D292" s="6" t="s">
        <v>1198</v>
      </c>
      <c r="E292" s="6" t="s">
        <v>1494</v>
      </c>
      <c r="F292" s="24">
        <v>11</v>
      </c>
      <c r="G292" s="24">
        <v>0</v>
      </c>
      <c r="H292" s="24">
        <f t="shared" si="78"/>
        <v>0</v>
      </c>
      <c r="I292" s="24">
        <f t="shared" si="79"/>
        <v>0</v>
      </c>
      <c r="J292" s="24">
        <f t="shared" si="80"/>
        <v>0</v>
      </c>
      <c r="K292" s="24">
        <v>0.0008</v>
      </c>
      <c r="L292" s="24">
        <f t="shared" si="81"/>
        <v>0.0088</v>
      </c>
      <c r="M292" s="36" t="s">
        <v>1523</v>
      </c>
      <c r="N292" s="36" t="s">
        <v>1526</v>
      </c>
      <c r="O292" s="24">
        <f t="shared" si="82"/>
        <v>0</v>
      </c>
      <c r="Z292" s="24">
        <f t="shared" si="83"/>
        <v>0</v>
      </c>
      <c r="AA292" s="24">
        <f t="shared" si="84"/>
        <v>0</v>
      </c>
      <c r="AB292" s="24">
        <f t="shared" si="85"/>
        <v>0</v>
      </c>
      <c r="AD292" s="39">
        <v>15</v>
      </c>
      <c r="AE292" s="39">
        <f>G292*1</f>
        <v>0</v>
      </c>
      <c r="AF292" s="39">
        <f>G292*(1-1)</f>
        <v>0</v>
      </c>
      <c r="AM292" s="39">
        <f t="shared" si="86"/>
        <v>0</v>
      </c>
      <c r="AN292" s="39">
        <f t="shared" si="87"/>
        <v>0</v>
      </c>
      <c r="AO292" s="40" t="s">
        <v>1544</v>
      </c>
      <c r="AP292" s="40" t="s">
        <v>1599</v>
      </c>
      <c r="AQ292" s="31" t="s">
        <v>1608</v>
      </c>
    </row>
    <row r="293" spans="1:43" ht="12.75">
      <c r="A293" s="6" t="s">
        <v>176</v>
      </c>
      <c r="B293" s="6" t="s">
        <v>589</v>
      </c>
      <c r="C293" s="6" t="s">
        <v>774</v>
      </c>
      <c r="D293" s="6" t="s">
        <v>1199</v>
      </c>
      <c r="E293" s="6" t="s">
        <v>1494</v>
      </c>
      <c r="F293" s="24">
        <v>3</v>
      </c>
      <c r="G293" s="24">
        <v>0</v>
      </c>
      <c r="H293" s="24">
        <f t="shared" si="78"/>
        <v>0</v>
      </c>
      <c r="I293" s="24">
        <f t="shared" si="79"/>
        <v>0</v>
      </c>
      <c r="J293" s="24">
        <f t="shared" si="80"/>
        <v>0</v>
      </c>
      <c r="K293" s="24">
        <v>0.00203</v>
      </c>
      <c r="L293" s="24">
        <f t="shared" si="81"/>
        <v>0.00609</v>
      </c>
      <c r="M293" s="36" t="s">
        <v>1523</v>
      </c>
      <c r="N293" s="36" t="s">
        <v>1526</v>
      </c>
      <c r="O293" s="24">
        <f t="shared" si="82"/>
        <v>0</v>
      </c>
      <c r="Z293" s="24">
        <f t="shared" si="83"/>
        <v>0</v>
      </c>
      <c r="AA293" s="24">
        <f t="shared" si="84"/>
        <v>0</v>
      </c>
      <c r="AB293" s="24">
        <f t="shared" si="85"/>
        <v>0</v>
      </c>
      <c r="AD293" s="39">
        <v>15</v>
      </c>
      <c r="AE293" s="39">
        <f>G293*1</f>
        <v>0</v>
      </c>
      <c r="AF293" s="39">
        <f>G293*(1-1)</f>
        <v>0</v>
      </c>
      <c r="AM293" s="39">
        <f t="shared" si="86"/>
        <v>0</v>
      </c>
      <c r="AN293" s="39">
        <f t="shared" si="87"/>
        <v>0</v>
      </c>
      <c r="AO293" s="40" t="s">
        <v>1544</v>
      </c>
      <c r="AP293" s="40" t="s">
        <v>1599</v>
      </c>
      <c r="AQ293" s="31" t="s">
        <v>1608</v>
      </c>
    </row>
    <row r="294" spans="1:43" ht="12.75">
      <c r="A294" s="5" t="s">
        <v>177</v>
      </c>
      <c r="B294" s="5" t="s">
        <v>589</v>
      </c>
      <c r="C294" s="5" t="s">
        <v>775</v>
      </c>
      <c r="D294" s="5" t="s">
        <v>1200</v>
      </c>
      <c r="E294" s="5" t="s">
        <v>1494</v>
      </c>
      <c r="F294" s="22">
        <v>10</v>
      </c>
      <c r="G294" s="22">
        <v>0</v>
      </c>
      <c r="H294" s="22">
        <f t="shared" si="78"/>
        <v>0</v>
      </c>
      <c r="I294" s="22">
        <f t="shared" si="79"/>
        <v>0</v>
      </c>
      <c r="J294" s="22">
        <f t="shared" si="80"/>
        <v>0</v>
      </c>
      <c r="K294" s="22">
        <v>0.00162</v>
      </c>
      <c r="L294" s="22">
        <f t="shared" si="81"/>
        <v>0.0162</v>
      </c>
      <c r="M294" s="35" t="s">
        <v>1523</v>
      </c>
      <c r="N294" s="35" t="s">
        <v>9</v>
      </c>
      <c r="O294" s="22">
        <f t="shared" si="82"/>
        <v>0</v>
      </c>
      <c r="Z294" s="22">
        <f t="shared" si="83"/>
        <v>0</v>
      </c>
      <c r="AA294" s="22">
        <f t="shared" si="84"/>
        <v>0</v>
      </c>
      <c r="AB294" s="22">
        <f t="shared" si="85"/>
        <v>0</v>
      </c>
      <c r="AD294" s="39">
        <v>15</v>
      </c>
      <c r="AE294" s="39">
        <f>G294*0.0866294925912415</f>
        <v>0</v>
      </c>
      <c r="AF294" s="39">
        <f>G294*(1-0.0866294925912415)</f>
        <v>0</v>
      </c>
      <c r="AM294" s="39">
        <f t="shared" si="86"/>
        <v>0</v>
      </c>
      <c r="AN294" s="39">
        <f t="shared" si="87"/>
        <v>0</v>
      </c>
      <c r="AO294" s="40" t="s">
        <v>1544</v>
      </c>
      <c r="AP294" s="40" t="s">
        <v>1599</v>
      </c>
      <c r="AQ294" s="31" t="s">
        <v>1608</v>
      </c>
    </row>
    <row r="295" spans="1:43" ht="12.75">
      <c r="A295" s="5" t="s">
        <v>178</v>
      </c>
      <c r="B295" s="5" t="s">
        <v>589</v>
      </c>
      <c r="C295" s="5" t="s">
        <v>776</v>
      </c>
      <c r="D295" s="5" t="s">
        <v>1201</v>
      </c>
      <c r="E295" s="5" t="s">
        <v>1494</v>
      </c>
      <c r="F295" s="22">
        <v>11</v>
      </c>
      <c r="G295" s="22">
        <v>0</v>
      </c>
      <c r="H295" s="22">
        <f t="shared" si="78"/>
        <v>0</v>
      </c>
      <c r="I295" s="22">
        <f t="shared" si="79"/>
        <v>0</v>
      </c>
      <c r="J295" s="22">
        <f t="shared" si="80"/>
        <v>0</v>
      </c>
      <c r="K295" s="22">
        <v>0.00202</v>
      </c>
      <c r="L295" s="22">
        <f t="shared" si="81"/>
        <v>0.02222</v>
      </c>
      <c r="M295" s="35" t="s">
        <v>1523</v>
      </c>
      <c r="N295" s="35" t="s">
        <v>9</v>
      </c>
      <c r="O295" s="22">
        <f t="shared" si="82"/>
        <v>0</v>
      </c>
      <c r="Z295" s="22">
        <f t="shared" si="83"/>
        <v>0</v>
      </c>
      <c r="AA295" s="22">
        <f t="shared" si="84"/>
        <v>0</v>
      </c>
      <c r="AB295" s="22">
        <f t="shared" si="85"/>
        <v>0</v>
      </c>
      <c r="AD295" s="39">
        <v>15</v>
      </c>
      <c r="AE295" s="39">
        <f>G295*0.0979411209770099</f>
        <v>0</v>
      </c>
      <c r="AF295" s="39">
        <f>G295*(1-0.0979411209770099)</f>
        <v>0</v>
      </c>
      <c r="AM295" s="39">
        <f t="shared" si="86"/>
        <v>0</v>
      </c>
      <c r="AN295" s="39">
        <f t="shared" si="87"/>
        <v>0</v>
      </c>
      <c r="AO295" s="40" t="s">
        <v>1544</v>
      </c>
      <c r="AP295" s="40" t="s">
        <v>1599</v>
      </c>
      <c r="AQ295" s="31" t="s">
        <v>1608</v>
      </c>
    </row>
    <row r="296" spans="1:43" ht="12.75">
      <c r="A296" s="6" t="s">
        <v>179</v>
      </c>
      <c r="B296" s="6" t="s">
        <v>589</v>
      </c>
      <c r="C296" s="6" t="s">
        <v>777</v>
      </c>
      <c r="D296" s="6" t="s">
        <v>1202</v>
      </c>
      <c r="E296" s="6" t="s">
        <v>1494</v>
      </c>
      <c r="F296" s="24">
        <v>10</v>
      </c>
      <c r="G296" s="24">
        <v>0</v>
      </c>
      <c r="H296" s="24">
        <f t="shared" si="78"/>
        <v>0</v>
      </c>
      <c r="I296" s="24">
        <f t="shared" si="79"/>
        <v>0</v>
      </c>
      <c r="J296" s="24">
        <f t="shared" si="80"/>
        <v>0</v>
      </c>
      <c r="K296" s="24">
        <v>0.016</v>
      </c>
      <c r="L296" s="24">
        <f t="shared" si="81"/>
        <v>0.16</v>
      </c>
      <c r="M296" s="36" t="s">
        <v>1523</v>
      </c>
      <c r="N296" s="36" t="s">
        <v>1526</v>
      </c>
      <c r="O296" s="24">
        <f t="shared" si="82"/>
        <v>0</v>
      </c>
      <c r="Z296" s="24">
        <f t="shared" si="83"/>
        <v>0</v>
      </c>
      <c r="AA296" s="24">
        <f t="shared" si="84"/>
        <v>0</v>
      </c>
      <c r="AB296" s="24">
        <f t="shared" si="85"/>
        <v>0</v>
      </c>
      <c r="AD296" s="39">
        <v>15</v>
      </c>
      <c r="AE296" s="39">
        <f>G296*1</f>
        <v>0</v>
      </c>
      <c r="AF296" s="39">
        <f>G296*(1-1)</f>
        <v>0</v>
      </c>
      <c r="AM296" s="39">
        <f t="shared" si="86"/>
        <v>0</v>
      </c>
      <c r="AN296" s="39">
        <f t="shared" si="87"/>
        <v>0</v>
      </c>
      <c r="AO296" s="40" t="s">
        <v>1544</v>
      </c>
      <c r="AP296" s="40" t="s">
        <v>1599</v>
      </c>
      <c r="AQ296" s="31" t="s">
        <v>1608</v>
      </c>
    </row>
    <row r="297" spans="1:43" ht="12.75">
      <c r="A297" s="6" t="s">
        <v>180</v>
      </c>
      <c r="B297" s="6" t="s">
        <v>589</v>
      </c>
      <c r="C297" s="6" t="s">
        <v>778</v>
      </c>
      <c r="D297" s="6" t="s">
        <v>1203</v>
      </c>
      <c r="E297" s="6" t="s">
        <v>1494</v>
      </c>
      <c r="F297" s="24">
        <v>11</v>
      </c>
      <c r="G297" s="24">
        <v>0</v>
      </c>
      <c r="H297" s="24">
        <f t="shared" si="78"/>
        <v>0</v>
      </c>
      <c r="I297" s="24">
        <f t="shared" si="79"/>
        <v>0</v>
      </c>
      <c r="J297" s="24">
        <f t="shared" si="80"/>
        <v>0</v>
      </c>
      <c r="K297" s="24">
        <v>0.016</v>
      </c>
      <c r="L297" s="24">
        <f t="shared" si="81"/>
        <v>0.176</v>
      </c>
      <c r="M297" s="36" t="s">
        <v>1523</v>
      </c>
      <c r="N297" s="36" t="s">
        <v>1526</v>
      </c>
      <c r="O297" s="24">
        <f t="shared" si="82"/>
        <v>0</v>
      </c>
      <c r="Z297" s="24">
        <f t="shared" si="83"/>
        <v>0</v>
      </c>
      <c r="AA297" s="24">
        <f t="shared" si="84"/>
        <v>0</v>
      </c>
      <c r="AB297" s="24">
        <f t="shared" si="85"/>
        <v>0</v>
      </c>
      <c r="AD297" s="39">
        <v>15</v>
      </c>
      <c r="AE297" s="39">
        <f>G297*1</f>
        <v>0</v>
      </c>
      <c r="AF297" s="39">
        <f>G297*(1-1)</f>
        <v>0</v>
      </c>
      <c r="AM297" s="39">
        <f t="shared" si="86"/>
        <v>0</v>
      </c>
      <c r="AN297" s="39">
        <f t="shared" si="87"/>
        <v>0</v>
      </c>
      <c r="AO297" s="40" t="s">
        <v>1544</v>
      </c>
      <c r="AP297" s="40" t="s">
        <v>1599</v>
      </c>
      <c r="AQ297" s="31" t="s">
        <v>1608</v>
      </c>
    </row>
    <row r="298" spans="1:43" ht="12.75">
      <c r="A298" s="5" t="s">
        <v>181</v>
      </c>
      <c r="B298" s="5" t="s">
        <v>589</v>
      </c>
      <c r="C298" s="5" t="s">
        <v>627</v>
      </c>
      <c r="D298" s="5" t="s">
        <v>1000</v>
      </c>
      <c r="E298" s="5" t="s">
        <v>1494</v>
      </c>
      <c r="F298" s="22">
        <v>21</v>
      </c>
      <c r="G298" s="22">
        <v>0</v>
      </c>
      <c r="H298" s="22">
        <f t="shared" si="78"/>
        <v>0</v>
      </c>
      <c r="I298" s="22">
        <f t="shared" si="79"/>
        <v>0</v>
      </c>
      <c r="J298" s="22">
        <f t="shared" si="80"/>
        <v>0</v>
      </c>
      <c r="K298" s="22">
        <v>0</v>
      </c>
      <c r="L298" s="22">
        <f t="shared" si="81"/>
        <v>0</v>
      </c>
      <c r="M298" s="35" t="s">
        <v>1523</v>
      </c>
      <c r="N298" s="35" t="s">
        <v>7</v>
      </c>
      <c r="O298" s="22">
        <f t="shared" si="82"/>
        <v>0</v>
      </c>
      <c r="Z298" s="22">
        <f t="shared" si="83"/>
        <v>0</v>
      </c>
      <c r="AA298" s="22">
        <f t="shared" si="84"/>
        <v>0</v>
      </c>
      <c r="AB298" s="22">
        <f t="shared" si="85"/>
        <v>0</v>
      </c>
      <c r="AD298" s="39">
        <v>15</v>
      </c>
      <c r="AE298" s="39">
        <f>G298*0</f>
        <v>0</v>
      </c>
      <c r="AF298" s="39">
        <f>G298*(1-0)</f>
        <v>0</v>
      </c>
      <c r="AM298" s="39">
        <f t="shared" si="86"/>
        <v>0</v>
      </c>
      <c r="AN298" s="39">
        <f t="shared" si="87"/>
        <v>0</v>
      </c>
      <c r="AO298" s="40" t="s">
        <v>1544</v>
      </c>
      <c r="AP298" s="40" t="s">
        <v>1599</v>
      </c>
      <c r="AQ298" s="31" t="s">
        <v>1608</v>
      </c>
    </row>
    <row r="299" spans="1:43" ht="12.75">
      <c r="A299" s="5" t="s">
        <v>182</v>
      </c>
      <c r="B299" s="5" t="s">
        <v>589</v>
      </c>
      <c r="C299" s="5" t="s">
        <v>779</v>
      </c>
      <c r="D299" s="5" t="s">
        <v>1204</v>
      </c>
      <c r="E299" s="5" t="s">
        <v>1494</v>
      </c>
      <c r="F299" s="22">
        <v>3</v>
      </c>
      <c r="G299" s="22">
        <v>0</v>
      </c>
      <c r="H299" s="22">
        <f t="shared" si="78"/>
        <v>0</v>
      </c>
      <c r="I299" s="22">
        <f t="shared" si="79"/>
        <v>0</v>
      </c>
      <c r="J299" s="22">
        <f t="shared" si="80"/>
        <v>0</v>
      </c>
      <c r="K299" s="22">
        <v>0</v>
      </c>
      <c r="L299" s="22">
        <f t="shared" si="81"/>
        <v>0</v>
      </c>
      <c r="M299" s="35" t="s">
        <v>1523</v>
      </c>
      <c r="N299" s="35" t="s">
        <v>7</v>
      </c>
      <c r="O299" s="22">
        <f t="shared" si="82"/>
        <v>0</v>
      </c>
      <c r="Z299" s="22">
        <f t="shared" si="83"/>
        <v>0</v>
      </c>
      <c r="AA299" s="22">
        <f t="shared" si="84"/>
        <v>0</v>
      </c>
      <c r="AB299" s="22">
        <f t="shared" si="85"/>
        <v>0</v>
      </c>
      <c r="AD299" s="39">
        <v>15</v>
      </c>
      <c r="AE299" s="39">
        <f>G299*0.674124009185866</f>
        <v>0</v>
      </c>
      <c r="AF299" s="39">
        <f>G299*(1-0.674124009185866)</f>
        <v>0</v>
      </c>
      <c r="AM299" s="39">
        <f t="shared" si="86"/>
        <v>0</v>
      </c>
      <c r="AN299" s="39">
        <f t="shared" si="87"/>
        <v>0</v>
      </c>
      <c r="AO299" s="40" t="s">
        <v>1544</v>
      </c>
      <c r="AP299" s="40" t="s">
        <v>1599</v>
      </c>
      <c r="AQ299" s="31" t="s">
        <v>1608</v>
      </c>
    </row>
    <row r="300" ht="12.75">
      <c r="D300" s="18" t="s">
        <v>1205</v>
      </c>
    </row>
    <row r="301" spans="1:43" ht="12.75">
      <c r="A301" s="5" t="s">
        <v>183</v>
      </c>
      <c r="B301" s="5" t="s">
        <v>589</v>
      </c>
      <c r="C301" s="5" t="s">
        <v>780</v>
      </c>
      <c r="D301" s="5" t="s">
        <v>1206</v>
      </c>
      <c r="E301" s="5" t="s">
        <v>1494</v>
      </c>
      <c r="F301" s="22">
        <v>3</v>
      </c>
      <c r="G301" s="22">
        <v>0</v>
      </c>
      <c r="H301" s="22">
        <f>F301*AE301</f>
        <v>0</v>
      </c>
      <c r="I301" s="22">
        <f>J301-H301</f>
        <v>0</v>
      </c>
      <c r="J301" s="22">
        <f>F301*G301</f>
        <v>0</v>
      </c>
      <c r="K301" s="22">
        <v>0.174</v>
      </c>
      <c r="L301" s="22">
        <f>F301*K301</f>
        <v>0.522</v>
      </c>
      <c r="M301" s="35" t="s">
        <v>1523</v>
      </c>
      <c r="N301" s="35" t="s">
        <v>7</v>
      </c>
      <c r="O301" s="22">
        <f>IF(N301="5",I301,0)</f>
        <v>0</v>
      </c>
      <c r="Z301" s="22">
        <f>IF(AD301=0,J301,0)</f>
        <v>0</v>
      </c>
      <c r="AA301" s="22">
        <f>IF(AD301=15,J301,0)</f>
        <v>0</v>
      </c>
      <c r="AB301" s="22">
        <f>IF(AD301=21,J301,0)</f>
        <v>0</v>
      </c>
      <c r="AD301" s="39">
        <v>15</v>
      </c>
      <c r="AE301" s="39">
        <f>G301*0</f>
        <v>0</v>
      </c>
      <c r="AF301" s="39">
        <f>G301*(1-0)</f>
        <v>0</v>
      </c>
      <c r="AM301" s="39">
        <f>F301*AE301</f>
        <v>0</v>
      </c>
      <c r="AN301" s="39">
        <f>F301*AF301</f>
        <v>0</v>
      </c>
      <c r="AO301" s="40" t="s">
        <v>1544</v>
      </c>
      <c r="AP301" s="40" t="s">
        <v>1599</v>
      </c>
      <c r="AQ301" s="31" t="s">
        <v>1608</v>
      </c>
    </row>
    <row r="302" spans="1:43" ht="12.75">
      <c r="A302" s="5" t="s">
        <v>184</v>
      </c>
      <c r="B302" s="5" t="s">
        <v>589</v>
      </c>
      <c r="C302" s="5" t="s">
        <v>781</v>
      </c>
      <c r="D302" s="5" t="s">
        <v>1207</v>
      </c>
      <c r="E302" s="5" t="s">
        <v>1494</v>
      </c>
      <c r="F302" s="22">
        <v>10</v>
      </c>
      <c r="G302" s="22">
        <v>0</v>
      </c>
      <c r="H302" s="22">
        <f>F302*AE302</f>
        <v>0</v>
      </c>
      <c r="I302" s="22">
        <f>J302-H302</f>
        <v>0</v>
      </c>
      <c r="J302" s="22">
        <f>F302*G302</f>
        <v>0</v>
      </c>
      <c r="K302" s="22">
        <v>2E-05</v>
      </c>
      <c r="L302" s="22">
        <f>F302*K302</f>
        <v>0.0002</v>
      </c>
      <c r="M302" s="35" t="s">
        <v>1523</v>
      </c>
      <c r="N302" s="35" t="s">
        <v>7</v>
      </c>
      <c r="O302" s="22">
        <f>IF(N302="5",I302,0)</f>
        <v>0</v>
      </c>
      <c r="Z302" s="22">
        <f>IF(AD302=0,J302,0)</f>
        <v>0</v>
      </c>
      <c r="AA302" s="22">
        <f>IF(AD302=15,J302,0)</f>
        <v>0</v>
      </c>
      <c r="AB302" s="22">
        <f>IF(AD302=21,J302,0)</f>
        <v>0</v>
      </c>
      <c r="AD302" s="39">
        <v>15</v>
      </c>
      <c r="AE302" s="39">
        <f>G302*0.0210983981693364</f>
        <v>0</v>
      </c>
      <c r="AF302" s="39">
        <f>G302*(1-0.0210983981693364)</f>
        <v>0</v>
      </c>
      <c r="AM302" s="39">
        <f>F302*AE302</f>
        <v>0</v>
      </c>
      <c r="AN302" s="39">
        <f>F302*AF302</f>
        <v>0</v>
      </c>
      <c r="AO302" s="40" t="s">
        <v>1544</v>
      </c>
      <c r="AP302" s="40" t="s">
        <v>1599</v>
      </c>
      <c r="AQ302" s="31" t="s">
        <v>1608</v>
      </c>
    </row>
    <row r="303" spans="1:43" ht="12.75">
      <c r="A303" s="5" t="s">
        <v>185</v>
      </c>
      <c r="B303" s="5" t="s">
        <v>589</v>
      </c>
      <c r="C303" s="5" t="s">
        <v>782</v>
      </c>
      <c r="D303" s="5" t="s">
        <v>1208</v>
      </c>
      <c r="E303" s="5" t="s">
        <v>1495</v>
      </c>
      <c r="F303" s="22">
        <v>23.1</v>
      </c>
      <c r="G303" s="22">
        <v>0</v>
      </c>
      <c r="H303" s="22">
        <f>F303*AE303</f>
        <v>0</v>
      </c>
      <c r="I303" s="22">
        <f>J303-H303</f>
        <v>0</v>
      </c>
      <c r="J303" s="22">
        <f>F303*G303</f>
        <v>0</v>
      </c>
      <c r="K303" s="22">
        <v>0.00372</v>
      </c>
      <c r="L303" s="22">
        <f>F303*K303</f>
        <v>0.08593200000000001</v>
      </c>
      <c r="M303" s="35" t="s">
        <v>1523</v>
      </c>
      <c r="N303" s="35" t="s">
        <v>9</v>
      </c>
      <c r="O303" s="22">
        <f>IF(N303="5",I303,0)</f>
        <v>0</v>
      </c>
      <c r="Z303" s="22">
        <f>IF(AD303=0,J303,0)</f>
        <v>0</v>
      </c>
      <c r="AA303" s="22">
        <f>IF(AD303=15,J303,0)</f>
        <v>0</v>
      </c>
      <c r="AB303" s="22">
        <f>IF(AD303=21,J303,0)</f>
        <v>0</v>
      </c>
      <c r="AD303" s="39">
        <v>15</v>
      </c>
      <c r="AE303" s="39">
        <f>G303*0.647173658409614</f>
        <v>0</v>
      </c>
      <c r="AF303" s="39">
        <f>G303*(1-0.647173658409614)</f>
        <v>0</v>
      </c>
      <c r="AM303" s="39">
        <f>F303*AE303</f>
        <v>0</v>
      </c>
      <c r="AN303" s="39">
        <f>F303*AF303</f>
        <v>0</v>
      </c>
      <c r="AO303" s="40" t="s">
        <v>1544</v>
      </c>
      <c r="AP303" s="40" t="s">
        <v>1599</v>
      </c>
      <c r="AQ303" s="31" t="s">
        <v>1608</v>
      </c>
    </row>
    <row r="304" ht="12.75">
      <c r="D304" s="18" t="s">
        <v>1209</v>
      </c>
    </row>
    <row r="305" spans="4:6" ht="10.5" customHeight="1">
      <c r="D305" s="17" t="s">
        <v>1210</v>
      </c>
      <c r="F305" s="23">
        <v>23.1</v>
      </c>
    </row>
    <row r="306" spans="1:37" ht="12.75">
      <c r="A306" s="4"/>
      <c r="B306" s="14" t="s">
        <v>589</v>
      </c>
      <c r="C306" s="14" t="s">
        <v>783</v>
      </c>
      <c r="D306" s="104" t="s">
        <v>1211</v>
      </c>
      <c r="E306" s="105"/>
      <c r="F306" s="105"/>
      <c r="G306" s="105"/>
      <c r="H306" s="42">
        <f>SUM(H307:H309)</f>
        <v>0</v>
      </c>
      <c r="I306" s="42">
        <f>SUM(I307:I309)</f>
        <v>0</v>
      </c>
      <c r="J306" s="42">
        <f>H306+I306</f>
        <v>0</v>
      </c>
      <c r="K306" s="31"/>
      <c r="L306" s="42">
        <f>SUM(L307:L309)</f>
        <v>0.17241</v>
      </c>
      <c r="M306" s="31"/>
      <c r="P306" s="42">
        <f>IF(Q306="PR",J306,SUM(O307:O309))</f>
        <v>0</v>
      </c>
      <c r="Q306" s="31" t="s">
        <v>1530</v>
      </c>
      <c r="R306" s="42">
        <f>IF(Q306="HS",H306,0)</f>
        <v>0</v>
      </c>
      <c r="S306" s="42">
        <f>IF(Q306="HS",I306-P306,0)</f>
        <v>0</v>
      </c>
      <c r="T306" s="42">
        <f>IF(Q306="PS",H306,0)</f>
        <v>0</v>
      </c>
      <c r="U306" s="42">
        <f>IF(Q306="PS",I306-P306,0)</f>
        <v>0</v>
      </c>
      <c r="V306" s="42">
        <f>IF(Q306="MP",H306,0)</f>
        <v>0</v>
      </c>
      <c r="W306" s="42">
        <f>IF(Q306="MP",I306-P306,0)</f>
        <v>0</v>
      </c>
      <c r="X306" s="42">
        <f>IF(Q306="OM",H306,0)</f>
        <v>0</v>
      </c>
      <c r="Y306" s="31" t="s">
        <v>589</v>
      </c>
      <c r="AI306" s="42">
        <f>SUM(Z307:Z309)</f>
        <v>0</v>
      </c>
      <c r="AJ306" s="42">
        <f>SUM(AA307:AA309)</f>
        <v>0</v>
      </c>
      <c r="AK306" s="42">
        <f>SUM(AB307:AB309)</f>
        <v>0</v>
      </c>
    </row>
    <row r="307" spans="1:43" ht="12.75">
      <c r="A307" s="5" t="s">
        <v>186</v>
      </c>
      <c r="B307" s="5" t="s">
        <v>589</v>
      </c>
      <c r="C307" s="5" t="s">
        <v>784</v>
      </c>
      <c r="D307" s="5" t="s">
        <v>1212</v>
      </c>
      <c r="E307" s="5" t="s">
        <v>1494</v>
      </c>
      <c r="F307" s="22">
        <v>3</v>
      </c>
      <c r="G307" s="22">
        <v>0</v>
      </c>
      <c r="H307" s="22">
        <f>F307*AE307</f>
        <v>0</v>
      </c>
      <c r="I307" s="22">
        <f>J307-H307</f>
        <v>0</v>
      </c>
      <c r="J307" s="22">
        <f>F307*G307</f>
        <v>0</v>
      </c>
      <c r="K307" s="22">
        <v>0.05747</v>
      </c>
      <c r="L307" s="22">
        <f>F307*K307</f>
        <v>0.17241</v>
      </c>
      <c r="M307" s="35" t="s">
        <v>1523</v>
      </c>
      <c r="N307" s="35" t="s">
        <v>9</v>
      </c>
      <c r="O307" s="22">
        <f>IF(N307="5",I307,0)</f>
        <v>0</v>
      </c>
      <c r="Z307" s="22">
        <f>IF(AD307=0,J307,0)</f>
        <v>0</v>
      </c>
      <c r="AA307" s="22">
        <f>IF(AD307=15,J307,0)</f>
        <v>0</v>
      </c>
      <c r="AB307" s="22">
        <f>IF(AD307=21,J307,0)</f>
        <v>0</v>
      </c>
      <c r="AD307" s="39">
        <v>15</v>
      </c>
      <c r="AE307" s="39">
        <f>G307*0.877927065026362</f>
        <v>0</v>
      </c>
      <c r="AF307" s="39">
        <f>G307*(1-0.877927065026362)</f>
        <v>0</v>
      </c>
      <c r="AM307" s="39">
        <f>F307*AE307</f>
        <v>0</v>
      </c>
      <c r="AN307" s="39">
        <f>F307*AF307</f>
        <v>0</v>
      </c>
      <c r="AO307" s="40" t="s">
        <v>1570</v>
      </c>
      <c r="AP307" s="40" t="s">
        <v>1599</v>
      </c>
      <c r="AQ307" s="31" t="s">
        <v>1608</v>
      </c>
    </row>
    <row r="308" spans="1:43" ht="12.75">
      <c r="A308" s="6" t="s">
        <v>187</v>
      </c>
      <c r="B308" s="6" t="s">
        <v>589</v>
      </c>
      <c r="C308" s="6" t="s">
        <v>785</v>
      </c>
      <c r="D308" s="6" t="s">
        <v>1213</v>
      </c>
      <c r="E308" s="6" t="s">
        <v>1494</v>
      </c>
      <c r="F308" s="24">
        <v>3</v>
      </c>
      <c r="G308" s="24">
        <v>0</v>
      </c>
      <c r="H308" s="24">
        <f>F308*AE308</f>
        <v>0</v>
      </c>
      <c r="I308" s="24">
        <f>J308-H308</f>
        <v>0</v>
      </c>
      <c r="J308" s="24">
        <f>F308*G308</f>
        <v>0</v>
      </c>
      <c r="K308" s="24">
        <v>0</v>
      </c>
      <c r="L308" s="24">
        <f>F308*K308</f>
        <v>0</v>
      </c>
      <c r="M308" s="36" t="s">
        <v>1523</v>
      </c>
      <c r="N308" s="36" t="s">
        <v>1526</v>
      </c>
      <c r="O308" s="24">
        <f>IF(N308="5",I308,0)</f>
        <v>0</v>
      </c>
      <c r="Z308" s="24">
        <f>IF(AD308=0,J308,0)</f>
        <v>0</v>
      </c>
      <c r="AA308" s="24">
        <f>IF(AD308=15,J308,0)</f>
        <v>0</v>
      </c>
      <c r="AB308" s="24">
        <f>IF(AD308=21,J308,0)</f>
        <v>0</v>
      </c>
      <c r="AD308" s="39">
        <v>15</v>
      </c>
      <c r="AE308" s="39">
        <f>G308*1</f>
        <v>0</v>
      </c>
      <c r="AF308" s="39">
        <f>G308*(1-1)</f>
        <v>0</v>
      </c>
      <c r="AM308" s="39">
        <f>F308*AE308</f>
        <v>0</v>
      </c>
      <c r="AN308" s="39">
        <f>F308*AF308</f>
        <v>0</v>
      </c>
      <c r="AO308" s="40" t="s">
        <v>1570</v>
      </c>
      <c r="AP308" s="40" t="s">
        <v>1599</v>
      </c>
      <c r="AQ308" s="31" t="s">
        <v>1608</v>
      </c>
    </row>
    <row r="309" spans="1:43" ht="12.75">
      <c r="A309" s="6" t="s">
        <v>188</v>
      </c>
      <c r="B309" s="6" t="s">
        <v>589</v>
      </c>
      <c r="C309" s="6" t="s">
        <v>786</v>
      </c>
      <c r="D309" s="6" t="s">
        <v>1214</v>
      </c>
      <c r="E309" s="6" t="s">
        <v>1494</v>
      </c>
      <c r="F309" s="24">
        <v>3</v>
      </c>
      <c r="G309" s="24">
        <v>0</v>
      </c>
      <c r="H309" s="24">
        <f>F309*AE309</f>
        <v>0</v>
      </c>
      <c r="I309" s="24">
        <f>J309-H309</f>
        <v>0</v>
      </c>
      <c r="J309" s="24">
        <f>F309*G309</f>
        <v>0</v>
      </c>
      <c r="K309" s="24">
        <v>0</v>
      </c>
      <c r="L309" s="24">
        <f>F309*K309</f>
        <v>0</v>
      </c>
      <c r="M309" s="36" t="s">
        <v>1523</v>
      </c>
      <c r="N309" s="36" t="s">
        <v>1526</v>
      </c>
      <c r="O309" s="24">
        <f>IF(N309="5",I309,0)</f>
        <v>0</v>
      </c>
      <c r="Z309" s="24">
        <f>IF(AD309=0,J309,0)</f>
        <v>0</v>
      </c>
      <c r="AA309" s="24">
        <f>IF(AD309=15,J309,0)</f>
        <v>0</v>
      </c>
      <c r="AB309" s="24">
        <f>IF(AD309=21,J309,0)</f>
        <v>0</v>
      </c>
      <c r="AD309" s="39">
        <v>15</v>
      </c>
      <c r="AE309" s="39">
        <f>G309*1</f>
        <v>0</v>
      </c>
      <c r="AF309" s="39">
        <f>G309*(1-1)</f>
        <v>0</v>
      </c>
      <c r="AM309" s="39">
        <f>F309*AE309</f>
        <v>0</v>
      </c>
      <c r="AN309" s="39">
        <f>F309*AF309</f>
        <v>0</v>
      </c>
      <c r="AO309" s="40" t="s">
        <v>1570</v>
      </c>
      <c r="AP309" s="40" t="s">
        <v>1599</v>
      </c>
      <c r="AQ309" s="31" t="s">
        <v>1608</v>
      </c>
    </row>
    <row r="310" spans="1:37" ht="12.75">
      <c r="A310" s="4"/>
      <c r="B310" s="14" t="s">
        <v>589</v>
      </c>
      <c r="C310" s="14" t="s">
        <v>630</v>
      </c>
      <c r="D310" s="104" t="s">
        <v>1003</v>
      </c>
      <c r="E310" s="105"/>
      <c r="F310" s="105"/>
      <c r="G310" s="105"/>
      <c r="H310" s="42">
        <f>SUM(H311:H324)</f>
        <v>0</v>
      </c>
      <c r="I310" s="42">
        <f>SUM(I311:I324)</f>
        <v>0</v>
      </c>
      <c r="J310" s="42">
        <f>H310+I310</f>
        <v>0</v>
      </c>
      <c r="K310" s="31"/>
      <c r="L310" s="42">
        <f>SUM(L311:L324)</f>
        <v>1.1628817999999999</v>
      </c>
      <c r="M310" s="31"/>
      <c r="P310" s="42">
        <f>IF(Q310="PR",J310,SUM(O311:O324))</f>
        <v>0</v>
      </c>
      <c r="Q310" s="31" t="s">
        <v>1530</v>
      </c>
      <c r="R310" s="42">
        <f>IF(Q310="HS",H310,0)</f>
        <v>0</v>
      </c>
      <c r="S310" s="42">
        <f>IF(Q310="HS",I310-P310,0)</f>
        <v>0</v>
      </c>
      <c r="T310" s="42">
        <f>IF(Q310="PS",H310,0)</f>
        <v>0</v>
      </c>
      <c r="U310" s="42">
        <f>IF(Q310="PS",I310-P310,0)</f>
        <v>0</v>
      </c>
      <c r="V310" s="42">
        <f>IF(Q310="MP",H310,0)</f>
        <v>0</v>
      </c>
      <c r="W310" s="42">
        <f>IF(Q310="MP",I310-P310,0)</f>
        <v>0</v>
      </c>
      <c r="X310" s="42">
        <f>IF(Q310="OM",H310,0)</f>
        <v>0</v>
      </c>
      <c r="Y310" s="31" t="s">
        <v>589</v>
      </c>
      <c r="AI310" s="42">
        <f>SUM(Z311:Z324)</f>
        <v>0</v>
      </c>
      <c r="AJ310" s="42">
        <f>SUM(AA311:AA324)</f>
        <v>0</v>
      </c>
      <c r="AK310" s="42">
        <f>SUM(AB311:AB324)</f>
        <v>0</v>
      </c>
    </row>
    <row r="311" spans="1:43" ht="12.75">
      <c r="A311" s="5" t="s">
        <v>189</v>
      </c>
      <c r="B311" s="5" t="s">
        <v>589</v>
      </c>
      <c r="C311" s="5" t="s">
        <v>631</v>
      </c>
      <c r="D311" s="5" t="s">
        <v>1004</v>
      </c>
      <c r="E311" s="5" t="s">
        <v>1493</v>
      </c>
      <c r="F311" s="22">
        <v>11.07</v>
      </c>
      <c r="G311" s="22">
        <v>0</v>
      </c>
      <c r="H311" s="22">
        <f>F311*AE311</f>
        <v>0</v>
      </c>
      <c r="I311" s="22">
        <f>J311-H311</f>
        <v>0</v>
      </c>
      <c r="J311" s="22">
        <f>F311*G311</f>
        <v>0</v>
      </c>
      <c r="K311" s="22">
        <v>0</v>
      </c>
      <c r="L311" s="22">
        <f>F311*K311</f>
        <v>0</v>
      </c>
      <c r="M311" s="35" t="s">
        <v>1523</v>
      </c>
      <c r="N311" s="35" t="s">
        <v>7</v>
      </c>
      <c r="O311" s="22">
        <f>IF(N311="5",I311,0)</f>
        <v>0</v>
      </c>
      <c r="Z311" s="22">
        <f>IF(AD311=0,J311,0)</f>
        <v>0</v>
      </c>
      <c r="AA311" s="22">
        <f>IF(AD311=15,J311,0)</f>
        <v>0</v>
      </c>
      <c r="AB311" s="22">
        <f>IF(AD311=21,J311,0)</f>
        <v>0</v>
      </c>
      <c r="AD311" s="39">
        <v>15</v>
      </c>
      <c r="AE311" s="39">
        <f>G311*0</f>
        <v>0</v>
      </c>
      <c r="AF311" s="39">
        <f>G311*(1-0)</f>
        <v>0</v>
      </c>
      <c r="AM311" s="39">
        <f>F311*AE311</f>
        <v>0</v>
      </c>
      <c r="AN311" s="39">
        <f>F311*AF311</f>
        <v>0</v>
      </c>
      <c r="AO311" s="40" t="s">
        <v>1545</v>
      </c>
      <c r="AP311" s="40" t="s">
        <v>1600</v>
      </c>
      <c r="AQ311" s="31" t="s">
        <v>1608</v>
      </c>
    </row>
    <row r="312" ht="12.75">
      <c r="D312" s="18" t="s">
        <v>1215</v>
      </c>
    </row>
    <row r="313" spans="1:43" ht="12.75">
      <c r="A313" s="6" t="s">
        <v>190</v>
      </c>
      <c r="B313" s="6" t="s">
        <v>589</v>
      </c>
      <c r="C313" s="6" t="s">
        <v>633</v>
      </c>
      <c r="D313" s="6" t="s">
        <v>1216</v>
      </c>
      <c r="E313" s="6" t="s">
        <v>1493</v>
      </c>
      <c r="F313" s="24">
        <v>12.177</v>
      </c>
      <c r="G313" s="24">
        <v>0</v>
      </c>
      <c r="H313" s="24">
        <f>F313*AE313</f>
        <v>0</v>
      </c>
      <c r="I313" s="24">
        <f>J313-H313</f>
        <v>0</v>
      </c>
      <c r="J313" s="24">
        <f>F313*G313</f>
        <v>0</v>
      </c>
      <c r="K313" s="24">
        <v>0.0192</v>
      </c>
      <c r="L313" s="24">
        <f>F313*K313</f>
        <v>0.23379839999999996</v>
      </c>
      <c r="M313" s="36" t="s">
        <v>1523</v>
      </c>
      <c r="N313" s="36" t="s">
        <v>1526</v>
      </c>
      <c r="O313" s="24">
        <f>IF(N313="5",I313,0)</f>
        <v>0</v>
      </c>
      <c r="Z313" s="24">
        <f>IF(AD313=0,J313,0)</f>
        <v>0</v>
      </c>
      <c r="AA313" s="24">
        <f>IF(AD313=15,J313,0)</f>
        <v>0</v>
      </c>
      <c r="AB313" s="24">
        <f>IF(AD313=21,J313,0)</f>
        <v>0</v>
      </c>
      <c r="AD313" s="39">
        <v>15</v>
      </c>
      <c r="AE313" s="39">
        <f>G313*1</f>
        <v>0</v>
      </c>
      <c r="AF313" s="39">
        <f>G313*(1-1)</f>
        <v>0</v>
      </c>
      <c r="AM313" s="39">
        <f>F313*AE313</f>
        <v>0</v>
      </c>
      <c r="AN313" s="39">
        <f>F313*AF313</f>
        <v>0</v>
      </c>
      <c r="AO313" s="40" t="s">
        <v>1545</v>
      </c>
      <c r="AP313" s="40" t="s">
        <v>1600</v>
      </c>
      <c r="AQ313" s="31" t="s">
        <v>1608</v>
      </c>
    </row>
    <row r="314" spans="4:6" ht="10.5" customHeight="1">
      <c r="D314" s="17" t="s">
        <v>1217</v>
      </c>
      <c r="F314" s="23">
        <v>12.177</v>
      </c>
    </row>
    <row r="315" spans="1:43" ht="12.75">
      <c r="A315" s="5" t="s">
        <v>191</v>
      </c>
      <c r="B315" s="5" t="s">
        <v>589</v>
      </c>
      <c r="C315" s="5" t="s">
        <v>631</v>
      </c>
      <c r="D315" s="5" t="s">
        <v>1004</v>
      </c>
      <c r="E315" s="5" t="s">
        <v>1493</v>
      </c>
      <c r="F315" s="22">
        <v>19.04</v>
      </c>
      <c r="G315" s="22">
        <v>0</v>
      </c>
      <c r="H315" s="22">
        <f>F315*AE315</f>
        <v>0</v>
      </c>
      <c r="I315" s="22">
        <f>J315-H315</f>
        <v>0</v>
      </c>
      <c r="J315" s="22">
        <f>F315*G315</f>
        <v>0</v>
      </c>
      <c r="K315" s="22">
        <v>0</v>
      </c>
      <c r="L315" s="22">
        <f>F315*K315</f>
        <v>0</v>
      </c>
      <c r="M315" s="35" t="s">
        <v>1523</v>
      </c>
      <c r="N315" s="35" t="s">
        <v>7</v>
      </c>
      <c r="O315" s="22">
        <f>IF(N315="5",I315,0)</f>
        <v>0</v>
      </c>
      <c r="Z315" s="22">
        <f>IF(AD315=0,J315,0)</f>
        <v>0</v>
      </c>
      <c r="AA315" s="22">
        <f>IF(AD315=15,J315,0)</f>
        <v>0</v>
      </c>
      <c r="AB315" s="22">
        <f>IF(AD315=21,J315,0)</f>
        <v>0</v>
      </c>
      <c r="AD315" s="39">
        <v>15</v>
      </c>
      <c r="AE315" s="39">
        <f>G315*0</f>
        <v>0</v>
      </c>
      <c r="AF315" s="39">
        <f>G315*(1-0)</f>
        <v>0</v>
      </c>
      <c r="AM315" s="39">
        <f>F315*AE315</f>
        <v>0</v>
      </c>
      <c r="AN315" s="39">
        <f>F315*AF315</f>
        <v>0</v>
      </c>
      <c r="AO315" s="40" t="s">
        <v>1545</v>
      </c>
      <c r="AP315" s="40" t="s">
        <v>1600</v>
      </c>
      <c r="AQ315" s="31" t="s">
        <v>1608</v>
      </c>
    </row>
    <row r="316" ht="12.75">
      <c r="D316" s="18" t="s">
        <v>1218</v>
      </c>
    </row>
    <row r="317" spans="4:6" ht="10.5" customHeight="1">
      <c r="D317" s="17" t="s">
        <v>1219</v>
      </c>
      <c r="F317" s="23">
        <v>19.04</v>
      </c>
    </row>
    <row r="318" spans="1:43" ht="12.75">
      <c r="A318" s="6" t="s">
        <v>192</v>
      </c>
      <c r="B318" s="6" t="s">
        <v>589</v>
      </c>
      <c r="C318" s="6" t="s">
        <v>633</v>
      </c>
      <c r="D318" s="6" t="s">
        <v>1220</v>
      </c>
      <c r="E318" s="6" t="s">
        <v>1493</v>
      </c>
      <c r="F318" s="24">
        <v>30.8</v>
      </c>
      <c r="G318" s="24">
        <v>0</v>
      </c>
      <c r="H318" s="24">
        <f>F318*AE318</f>
        <v>0</v>
      </c>
      <c r="I318" s="24">
        <f>J318-H318</f>
        <v>0</v>
      </c>
      <c r="J318" s="24">
        <f>F318*G318</f>
        <v>0</v>
      </c>
      <c r="K318" s="24">
        <v>0.0192</v>
      </c>
      <c r="L318" s="24">
        <f>F318*K318</f>
        <v>0.59136</v>
      </c>
      <c r="M318" s="36" t="s">
        <v>1523</v>
      </c>
      <c r="N318" s="36" t="s">
        <v>1526</v>
      </c>
      <c r="O318" s="24">
        <f>IF(N318="5",I318,0)</f>
        <v>0</v>
      </c>
      <c r="Z318" s="24">
        <f>IF(AD318=0,J318,0)</f>
        <v>0</v>
      </c>
      <c r="AA318" s="24">
        <f>IF(AD318=15,J318,0)</f>
        <v>0</v>
      </c>
      <c r="AB318" s="24">
        <f>IF(AD318=21,J318,0)</f>
        <v>0</v>
      </c>
      <c r="AD318" s="39">
        <v>15</v>
      </c>
      <c r="AE318" s="39">
        <f>G318*1</f>
        <v>0</v>
      </c>
      <c r="AF318" s="39">
        <f>G318*(1-1)</f>
        <v>0</v>
      </c>
      <c r="AM318" s="39">
        <f>F318*AE318</f>
        <v>0</v>
      </c>
      <c r="AN318" s="39">
        <f>F318*AF318</f>
        <v>0</v>
      </c>
      <c r="AO318" s="40" t="s">
        <v>1545</v>
      </c>
      <c r="AP318" s="40" t="s">
        <v>1600</v>
      </c>
      <c r="AQ318" s="31" t="s">
        <v>1608</v>
      </c>
    </row>
    <row r="319" spans="4:6" ht="10.5" customHeight="1">
      <c r="D319" s="17" t="s">
        <v>1221</v>
      </c>
      <c r="F319" s="23">
        <v>30.8</v>
      </c>
    </row>
    <row r="320" spans="1:43" ht="12.75">
      <c r="A320" s="5" t="s">
        <v>193</v>
      </c>
      <c r="B320" s="5" t="s">
        <v>589</v>
      </c>
      <c r="C320" s="5" t="s">
        <v>632</v>
      </c>
      <c r="D320" s="5" t="s">
        <v>1005</v>
      </c>
      <c r="E320" s="5" t="s">
        <v>1495</v>
      </c>
      <c r="F320" s="22">
        <v>34</v>
      </c>
      <c r="G320" s="22">
        <v>0</v>
      </c>
      <c r="H320" s="22">
        <f>F320*AE320</f>
        <v>0</v>
      </c>
      <c r="I320" s="22">
        <f>J320-H320</f>
        <v>0</v>
      </c>
      <c r="J320" s="22">
        <f>F320*G320</f>
        <v>0</v>
      </c>
      <c r="K320" s="22">
        <v>0.00518</v>
      </c>
      <c r="L320" s="22">
        <f>F320*K320</f>
        <v>0.17612</v>
      </c>
      <c r="M320" s="35" t="s">
        <v>1523</v>
      </c>
      <c r="N320" s="35" t="s">
        <v>7</v>
      </c>
      <c r="O320" s="22">
        <f>IF(N320="5",I320,0)</f>
        <v>0</v>
      </c>
      <c r="Z320" s="22">
        <f>IF(AD320=0,J320,0)</f>
        <v>0</v>
      </c>
      <c r="AA320" s="22">
        <f>IF(AD320=15,J320,0)</f>
        <v>0</v>
      </c>
      <c r="AB320" s="22">
        <f>IF(AD320=21,J320,0)</f>
        <v>0</v>
      </c>
      <c r="AD320" s="39">
        <v>15</v>
      </c>
      <c r="AE320" s="39">
        <f>G320*0.0526060606060606</f>
        <v>0</v>
      </c>
      <c r="AF320" s="39">
        <f>G320*(1-0.0526060606060606)</f>
        <v>0</v>
      </c>
      <c r="AM320" s="39">
        <f>F320*AE320</f>
        <v>0</v>
      </c>
      <c r="AN320" s="39">
        <f>F320*AF320</f>
        <v>0</v>
      </c>
      <c r="AO320" s="40" t="s">
        <v>1545</v>
      </c>
      <c r="AP320" s="40" t="s">
        <v>1600</v>
      </c>
      <c r="AQ320" s="31" t="s">
        <v>1608</v>
      </c>
    </row>
    <row r="321" spans="1:43" ht="12.75">
      <c r="A321" s="5" t="s">
        <v>194</v>
      </c>
      <c r="B321" s="5" t="s">
        <v>589</v>
      </c>
      <c r="C321" s="5" t="s">
        <v>787</v>
      </c>
      <c r="D321" s="5" t="s">
        <v>1222</v>
      </c>
      <c r="E321" s="5" t="s">
        <v>1493</v>
      </c>
      <c r="F321" s="22">
        <v>6.54</v>
      </c>
      <c r="G321" s="22">
        <v>0</v>
      </c>
      <c r="H321" s="22">
        <f>F321*AE321</f>
        <v>0</v>
      </c>
      <c r="I321" s="22">
        <f>J321-H321</f>
        <v>0</v>
      </c>
      <c r="J321" s="22">
        <f>F321*G321</f>
        <v>0</v>
      </c>
      <c r="K321" s="22">
        <v>0.00359</v>
      </c>
      <c r="L321" s="22">
        <f>F321*K321</f>
        <v>0.0234786</v>
      </c>
      <c r="M321" s="35" t="s">
        <v>1523</v>
      </c>
      <c r="N321" s="35" t="s">
        <v>9</v>
      </c>
      <c r="O321" s="22">
        <f>IF(N321="5",I321,0)</f>
        <v>0</v>
      </c>
      <c r="Z321" s="22">
        <f>IF(AD321=0,J321,0)</f>
        <v>0</v>
      </c>
      <c r="AA321" s="22">
        <f>IF(AD321=15,J321,0)</f>
        <v>0</v>
      </c>
      <c r="AB321" s="22">
        <f>IF(AD321=21,J321,0)</f>
        <v>0</v>
      </c>
      <c r="AD321" s="39">
        <v>15</v>
      </c>
      <c r="AE321" s="39">
        <f>G321*0.254545857234613</f>
        <v>0</v>
      </c>
      <c r="AF321" s="39">
        <f>G321*(1-0.254545857234613)</f>
        <v>0</v>
      </c>
      <c r="AM321" s="39">
        <f>F321*AE321</f>
        <v>0</v>
      </c>
      <c r="AN321" s="39">
        <f>F321*AF321</f>
        <v>0</v>
      </c>
      <c r="AO321" s="40" t="s">
        <v>1545</v>
      </c>
      <c r="AP321" s="40" t="s">
        <v>1600</v>
      </c>
      <c r="AQ321" s="31" t="s">
        <v>1608</v>
      </c>
    </row>
    <row r="322" ht="12.75">
      <c r="D322" s="18" t="s">
        <v>1223</v>
      </c>
    </row>
    <row r="323" spans="4:6" ht="10.5" customHeight="1">
      <c r="D323" s="17" t="s">
        <v>1224</v>
      </c>
      <c r="F323" s="23">
        <v>6.54</v>
      </c>
    </row>
    <row r="324" spans="1:43" ht="12.75">
      <c r="A324" s="6" t="s">
        <v>195</v>
      </c>
      <c r="B324" s="6" t="s">
        <v>589</v>
      </c>
      <c r="C324" s="6" t="s">
        <v>788</v>
      </c>
      <c r="D324" s="6" t="s">
        <v>1225</v>
      </c>
      <c r="E324" s="6" t="s">
        <v>1493</v>
      </c>
      <c r="F324" s="24">
        <v>7.194</v>
      </c>
      <c r="G324" s="24">
        <v>0</v>
      </c>
      <c r="H324" s="24">
        <f>F324*AE324</f>
        <v>0</v>
      </c>
      <c r="I324" s="24">
        <f>J324-H324</f>
        <v>0</v>
      </c>
      <c r="J324" s="24">
        <f>F324*G324</f>
        <v>0</v>
      </c>
      <c r="K324" s="24">
        <v>0.0192</v>
      </c>
      <c r="L324" s="24">
        <f>F324*K324</f>
        <v>0.1381248</v>
      </c>
      <c r="M324" s="36" t="s">
        <v>1523</v>
      </c>
      <c r="N324" s="36" t="s">
        <v>1526</v>
      </c>
      <c r="O324" s="24">
        <f>IF(N324="5",I324,0)</f>
        <v>0</v>
      </c>
      <c r="Z324" s="24">
        <f>IF(AD324=0,J324,0)</f>
        <v>0</v>
      </c>
      <c r="AA324" s="24">
        <f>IF(AD324=15,J324,0)</f>
        <v>0</v>
      </c>
      <c r="AB324" s="24">
        <f>IF(AD324=21,J324,0)</f>
        <v>0</v>
      </c>
      <c r="AD324" s="39">
        <v>15</v>
      </c>
      <c r="AE324" s="39">
        <f>G324*1</f>
        <v>0</v>
      </c>
      <c r="AF324" s="39">
        <f>G324*(1-1)</f>
        <v>0</v>
      </c>
      <c r="AM324" s="39">
        <f>F324*AE324</f>
        <v>0</v>
      </c>
      <c r="AN324" s="39">
        <f>F324*AF324</f>
        <v>0</v>
      </c>
      <c r="AO324" s="40" t="s">
        <v>1545</v>
      </c>
      <c r="AP324" s="40" t="s">
        <v>1600</v>
      </c>
      <c r="AQ324" s="31" t="s">
        <v>1608</v>
      </c>
    </row>
    <row r="325" spans="4:6" ht="10.5" customHeight="1">
      <c r="D325" s="17" t="s">
        <v>1226</v>
      </c>
      <c r="F325" s="23">
        <v>7.194</v>
      </c>
    </row>
    <row r="326" spans="1:37" ht="12.75">
      <c r="A326" s="4"/>
      <c r="B326" s="14" t="s">
        <v>589</v>
      </c>
      <c r="C326" s="14" t="s">
        <v>789</v>
      </c>
      <c r="D326" s="104" t="s">
        <v>1227</v>
      </c>
      <c r="E326" s="105"/>
      <c r="F326" s="105"/>
      <c r="G326" s="105"/>
      <c r="H326" s="42">
        <f>SUM(H327:H335)</f>
        <v>0</v>
      </c>
      <c r="I326" s="42">
        <f>SUM(I327:I335)</f>
        <v>0</v>
      </c>
      <c r="J326" s="42">
        <f>H326+I326</f>
        <v>0</v>
      </c>
      <c r="K326" s="31"/>
      <c r="L326" s="42">
        <f>SUM(L327:L335)</f>
        <v>1.4343872</v>
      </c>
      <c r="M326" s="31"/>
      <c r="P326" s="42">
        <f>IF(Q326="PR",J326,SUM(O327:O335))</f>
        <v>0</v>
      </c>
      <c r="Q326" s="31" t="s">
        <v>1530</v>
      </c>
      <c r="R326" s="42">
        <f>IF(Q326="HS",H326,0)</f>
        <v>0</v>
      </c>
      <c r="S326" s="42">
        <f>IF(Q326="HS",I326-P326,0)</f>
        <v>0</v>
      </c>
      <c r="T326" s="42">
        <f>IF(Q326="PS",H326,0)</f>
        <v>0</v>
      </c>
      <c r="U326" s="42">
        <f>IF(Q326="PS",I326-P326,0)</f>
        <v>0</v>
      </c>
      <c r="V326" s="42">
        <f>IF(Q326="MP",H326,0)</f>
        <v>0</v>
      </c>
      <c r="W326" s="42">
        <f>IF(Q326="MP",I326-P326,0)</f>
        <v>0</v>
      </c>
      <c r="X326" s="42">
        <f>IF(Q326="OM",H326,0)</f>
        <v>0</v>
      </c>
      <c r="Y326" s="31" t="s">
        <v>589</v>
      </c>
      <c r="AI326" s="42">
        <f>SUM(Z327:Z335)</f>
        <v>0</v>
      </c>
      <c r="AJ326" s="42">
        <f>SUM(AA327:AA335)</f>
        <v>0</v>
      </c>
      <c r="AK326" s="42">
        <f>SUM(AB327:AB335)</f>
        <v>0</v>
      </c>
    </row>
    <row r="327" spans="1:43" ht="12.75">
      <c r="A327" s="5" t="s">
        <v>196</v>
      </c>
      <c r="B327" s="5" t="s">
        <v>589</v>
      </c>
      <c r="C327" s="5" t="s">
        <v>790</v>
      </c>
      <c r="D327" s="5" t="s">
        <v>1228</v>
      </c>
      <c r="E327" s="5" t="s">
        <v>1493</v>
      </c>
      <c r="F327" s="22">
        <v>175.12</v>
      </c>
      <c r="G327" s="22">
        <v>0</v>
      </c>
      <c r="H327" s="22">
        <f>F327*AE327</f>
        <v>0</v>
      </c>
      <c r="I327" s="22">
        <f>J327-H327</f>
        <v>0</v>
      </c>
      <c r="J327" s="22">
        <f>F327*G327</f>
        <v>0</v>
      </c>
      <c r="K327" s="22">
        <v>0</v>
      </c>
      <c r="L327" s="22">
        <f>F327*K327</f>
        <v>0</v>
      </c>
      <c r="M327" s="35" t="s">
        <v>1523</v>
      </c>
      <c r="N327" s="35" t="s">
        <v>7</v>
      </c>
      <c r="O327" s="22">
        <f>IF(N327="5",I327,0)</f>
        <v>0</v>
      </c>
      <c r="Z327" s="22">
        <f>IF(AD327=0,J327,0)</f>
        <v>0</v>
      </c>
      <c r="AA327" s="22">
        <f>IF(AD327=15,J327,0)</f>
        <v>0</v>
      </c>
      <c r="AB327" s="22">
        <f>IF(AD327=21,J327,0)</f>
        <v>0</v>
      </c>
      <c r="AD327" s="39">
        <v>15</v>
      </c>
      <c r="AE327" s="39">
        <f>G327*0.377777777777778</f>
        <v>0</v>
      </c>
      <c r="AF327" s="39">
        <f>G327*(1-0.377777777777778)</f>
        <v>0</v>
      </c>
      <c r="AM327" s="39">
        <f>F327*AE327</f>
        <v>0</v>
      </c>
      <c r="AN327" s="39">
        <f>F327*AF327</f>
        <v>0</v>
      </c>
      <c r="AO327" s="40" t="s">
        <v>1571</v>
      </c>
      <c r="AP327" s="40" t="s">
        <v>1600</v>
      </c>
      <c r="AQ327" s="31" t="s">
        <v>1608</v>
      </c>
    </row>
    <row r="328" spans="4:6" ht="10.5" customHeight="1">
      <c r="D328" s="17" t="s">
        <v>1229</v>
      </c>
      <c r="F328" s="23">
        <v>175.12</v>
      </c>
    </row>
    <row r="329" spans="1:43" ht="12.75">
      <c r="A329" s="5" t="s">
        <v>197</v>
      </c>
      <c r="B329" s="5" t="s">
        <v>589</v>
      </c>
      <c r="C329" s="5" t="s">
        <v>791</v>
      </c>
      <c r="D329" s="5" t="s">
        <v>1230</v>
      </c>
      <c r="E329" s="5" t="s">
        <v>1493</v>
      </c>
      <c r="F329" s="22">
        <v>159.2</v>
      </c>
      <c r="G329" s="22">
        <v>0</v>
      </c>
      <c r="H329" s="22">
        <f>F329*AE329</f>
        <v>0</v>
      </c>
      <c r="I329" s="22">
        <f>J329-H329</f>
        <v>0</v>
      </c>
      <c r="J329" s="22">
        <f>F329*G329</f>
        <v>0</v>
      </c>
      <c r="K329" s="22">
        <v>5E-05</v>
      </c>
      <c r="L329" s="22">
        <f>F329*K329</f>
        <v>0.00796</v>
      </c>
      <c r="M329" s="35" t="s">
        <v>1523</v>
      </c>
      <c r="N329" s="35" t="s">
        <v>7</v>
      </c>
      <c r="O329" s="22">
        <f>IF(N329="5",I329,0)</f>
        <v>0</v>
      </c>
      <c r="Z329" s="22">
        <f>IF(AD329=0,J329,0)</f>
        <v>0</v>
      </c>
      <c r="AA329" s="22">
        <f>IF(AD329=15,J329,0)</f>
        <v>0</v>
      </c>
      <c r="AB329" s="22">
        <f>IF(AD329=21,J329,0)</f>
        <v>0</v>
      </c>
      <c r="AD329" s="39">
        <v>15</v>
      </c>
      <c r="AE329" s="39">
        <f>G329*0.112006688963211</f>
        <v>0</v>
      </c>
      <c r="AF329" s="39">
        <f>G329*(1-0.112006688963211)</f>
        <v>0</v>
      </c>
      <c r="AM329" s="39">
        <f>F329*AE329</f>
        <v>0</v>
      </c>
      <c r="AN329" s="39">
        <f>F329*AF329</f>
        <v>0</v>
      </c>
      <c r="AO329" s="40" t="s">
        <v>1571</v>
      </c>
      <c r="AP329" s="40" t="s">
        <v>1600</v>
      </c>
      <c r="AQ329" s="31" t="s">
        <v>1608</v>
      </c>
    </row>
    <row r="330" spans="4:6" ht="10.5" customHeight="1">
      <c r="D330" s="17" t="s">
        <v>1193</v>
      </c>
      <c r="F330" s="23">
        <v>159.2</v>
      </c>
    </row>
    <row r="331" spans="1:43" ht="12.75">
      <c r="A331" s="6" t="s">
        <v>198</v>
      </c>
      <c r="B331" s="6" t="s">
        <v>589</v>
      </c>
      <c r="C331" s="6" t="s">
        <v>792</v>
      </c>
      <c r="D331" s="6" t="s">
        <v>1231</v>
      </c>
      <c r="E331" s="6" t="s">
        <v>1493</v>
      </c>
      <c r="F331" s="24">
        <v>175.12</v>
      </c>
      <c r="G331" s="24">
        <v>0</v>
      </c>
      <c r="H331" s="24">
        <f>F331*AE331</f>
        <v>0</v>
      </c>
      <c r="I331" s="24">
        <f>J331-H331</f>
        <v>0</v>
      </c>
      <c r="J331" s="24">
        <f>F331*G331</f>
        <v>0</v>
      </c>
      <c r="K331" s="24">
        <v>0.0073</v>
      </c>
      <c r="L331" s="24">
        <f>F331*K331</f>
        <v>1.278376</v>
      </c>
      <c r="M331" s="36" t="s">
        <v>1523</v>
      </c>
      <c r="N331" s="36" t="s">
        <v>1526</v>
      </c>
      <c r="O331" s="24">
        <f>IF(N331="5",I331,0)</f>
        <v>0</v>
      </c>
      <c r="Z331" s="24">
        <f>IF(AD331=0,J331,0)</f>
        <v>0</v>
      </c>
      <c r="AA331" s="24">
        <f>IF(AD331=15,J331,0)</f>
        <v>0</v>
      </c>
      <c r="AB331" s="24">
        <f>IF(AD331=21,J331,0)</f>
        <v>0</v>
      </c>
      <c r="AD331" s="39">
        <v>15</v>
      </c>
      <c r="AE331" s="39">
        <f>G331*1</f>
        <v>0</v>
      </c>
      <c r="AF331" s="39">
        <f>G331*(1-1)</f>
        <v>0</v>
      </c>
      <c r="AM331" s="39">
        <f>F331*AE331</f>
        <v>0</v>
      </c>
      <c r="AN331" s="39">
        <f>F331*AF331</f>
        <v>0</v>
      </c>
      <c r="AO331" s="40" t="s">
        <v>1571</v>
      </c>
      <c r="AP331" s="40" t="s">
        <v>1600</v>
      </c>
      <c r="AQ331" s="31" t="s">
        <v>1608</v>
      </c>
    </row>
    <row r="332" spans="4:6" ht="10.5" customHeight="1">
      <c r="D332" s="17" t="s">
        <v>1232</v>
      </c>
      <c r="F332" s="23">
        <v>175.12</v>
      </c>
    </row>
    <row r="333" spans="1:43" ht="12.75">
      <c r="A333" s="5" t="s">
        <v>199</v>
      </c>
      <c r="B333" s="5" t="s">
        <v>589</v>
      </c>
      <c r="C333" s="5" t="s">
        <v>793</v>
      </c>
      <c r="D333" s="5" t="s">
        <v>1233</v>
      </c>
      <c r="E333" s="5" t="s">
        <v>1493</v>
      </c>
      <c r="F333" s="22">
        <v>175.12</v>
      </c>
      <c r="G333" s="22">
        <v>0</v>
      </c>
      <c r="H333" s="22">
        <f>F333*AE333</f>
        <v>0</v>
      </c>
      <c r="I333" s="22">
        <f>J333-H333</f>
        <v>0</v>
      </c>
      <c r="J333" s="22">
        <f>F333*G333</f>
        <v>0</v>
      </c>
      <c r="K333" s="22">
        <v>1E-05</v>
      </c>
      <c r="L333" s="22">
        <f>F333*K333</f>
        <v>0.0017512000000000003</v>
      </c>
      <c r="M333" s="35" t="s">
        <v>1523</v>
      </c>
      <c r="N333" s="35" t="s">
        <v>7</v>
      </c>
      <c r="O333" s="22">
        <f>IF(N333="5",I333,0)</f>
        <v>0</v>
      </c>
      <c r="Z333" s="22">
        <f>IF(AD333=0,J333,0)</f>
        <v>0</v>
      </c>
      <c r="AA333" s="22">
        <f>IF(AD333=15,J333,0)</f>
        <v>0</v>
      </c>
      <c r="AB333" s="22">
        <f>IF(AD333=21,J333,0)</f>
        <v>0</v>
      </c>
      <c r="AD333" s="39">
        <v>15</v>
      </c>
      <c r="AE333" s="39">
        <f>G333*0.545945945945946</f>
        <v>0</v>
      </c>
      <c r="AF333" s="39">
        <f>G333*(1-0.545945945945946)</f>
        <v>0</v>
      </c>
      <c r="AM333" s="39">
        <f>F333*AE333</f>
        <v>0</v>
      </c>
      <c r="AN333" s="39">
        <f>F333*AF333</f>
        <v>0</v>
      </c>
      <c r="AO333" s="40" t="s">
        <v>1571</v>
      </c>
      <c r="AP333" s="40" t="s">
        <v>1600</v>
      </c>
      <c r="AQ333" s="31" t="s">
        <v>1608</v>
      </c>
    </row>
    <row r="334" spans="4:6" ht="10.5" customHeight="1">
      <c r="D334" s="17" t="s">
        <v>1229</v>
      </c>
      <c r="F334" s="23">
        <v>175.12</v>
      </c>
    </row>
    <row r="335" spans="1:43" ht="12.75">
      <c r="A335" s="5" t="s">
        <v>200</v>
      </c>
      <c r="B335" s="5" t="s">
        <v>589</v>
      </c>
      <c r="C335" s="5" t="s">
        <v>794</v>
      </c>
      <c r="D335" s="5" t="s">
        <v>1234</v>
      </c>
      <c r="E335" s="5" t="s">
        <v>1495</v>
      </c>
      <c r="F335" s="22">
        <v>154</v>
      </c>
      <c r="G335" s="22">
        <v>0</v>
      </c>
      <c r="H335" s="22">
        <f>F335*AE335</f>
        <v>0</v>
      </c>
      <c r="I335" s="22">
        <f>J335-H335</f>
        <v>0</v>
      </c>
      <c r="J335" s="22">
        <f>F335*G335</f>
        <v>0</v>
      </c>
      <c r="K335" s="22">
        <v>0.00095</v>
      </c>
      <c r="L335" s="22">
        <f>F335*K335</f>
        <v>0.1463</v>
      </c>
      <c r="M335" s="35" t="s">
        <v>1523</v>
      </c>
      <c r="N335" s="35" t="s">
        <v>7</v>
      </c>
      <c r="O335" s="22">
        <f>IF(N335="5",I335,0)</f>
        <v>0</v>
      </c>
      <c r="Z335" s="22">
        <f>IF(AD335=0,J335,0)</f>
        <v>0</v>
      </c>
      <c r="AA335" s="22">
        <f>IF(AD335=15,J335,0)</f>
        <v>0</v>
      </c>
      <c r="AB335" s="22">
        <f>IF(AD335=21,J335,0)</f>
        <v>0</v>
      </c>
      <c r="AD335" s="39">
        <v>15</v>
      </c>
      <c r="AE335" s="39">
        <f>G335*0.30912436410867</f>
        <v>0</v>
      </c>
      <c r="AF335" s="39">
        <f>G335*(1-0.30912436410867)</f>
        <v>0</v>
      </c>
      <c r="AM335" s="39">
        <f>F335*AE335</f>
        <v>0</v>
      </c>
      <c r="AN335" s="39">
        <f>F335*AF335</f>
        <v>0</v>
      </c>
      <c r="AO335" s="40" t="s">
        <v>1571</v>
      </c>
      <c r="AP335" s="40" t="s">
        <v>1600</v>
      </c>
      <c r="AQ335" s="31" t="s">
        <v>1608</v>
      </c>
    </row>
    <row r="336" spans="1:37" ht="12.75">
      <c r="A336" s="4"/>
      <c r="B336" s="14" t="s">
        <v>589</v>
      </c>
      <c r="C336" s="14" t="s">
        <v>634</v>
      </c>
      <c r="D336" s="104" t="s">
        <v>1007</v>
      </c>
      <c r="E336" s="105"/>
      <c r="F336" s="105"/>
      <c r="G336" s="105"/>
      <c r="H336" s="42">
        <f>SUM(H337:H337)</f>
        <v>0</v>
      </c>
      <c r="I336" s="42">
        <f>SUM(I337:I337)</f>
        <v>0</v>
      </c>
      <c r="J336" s="42">
        <f>H336+I336</f>
        <v>0</v>
      </c>
      <c r="K336" s="31"/>
      <c r="L336" s="42">
        <f>SUM(L337:L337)</f>
        <v>0.15919999999999998</v>
      </c>
      <c r="M336" s="31"/>
      <c r="P336" s="42">
        <f>IF(Q336="PR",J336,SUM(O337:O337))</f>
        <v>0</v>
      </c>
      <c r="Q336" s="31" t="s">
        <v>1530</v>
      </c>
      <c r="R336" s="42">
        <f>IF(Q336="HS",H336,0)</f>
        <v>0</v>
      </c>
      <c r="S336" s="42">
        <f>IF(Q336="HS",I336-P336,0)</f>
        <v>0</v>
      </c>
      <c r="T336" s="42">
        <f>IF(Q336="PS",H336,0)</f>
        <v>0</v>
      </c>
      <c r="U336" s="42">
        <f>IF(Q336="PS",I336-P336,0)</f>
        <v>0</v>
      </c>
      <c r="V336" s="42">
        <f>IF(Q336="MP",H336,0)</f>
        <v>0</v>
      </c>
      <c r="W336" s="42">
        <f>IF(Q336="MP",I336-P336,0)</f>
        <v>0</v>
      </c>
      <c r="X336" s="42">
        <f>IF(Q336="OM",H336,0)</f>
        <v>0</v>
      </c>
      <c r="Y336" s="31" t="s">
        <v>589</v>
      </c>
      <c r="AI336" s="42">
        <f>SUM(Z337:Z337)</f>
        <v>0</v>
      </c>
      <c r="AJ336" s="42">
        <f>SUM(AA337:AA337)</f>
        <v>0</v>
      </c>
      <c r="AK336" s="42">
        <f>SUM(AB337:AB337)</f>
        <v>0</v>
      </c>
    </row>
    <row r="337" spans="1:43" ht="12.75">
      <c r="A337" s="5" t="s">
        <v>201</v>
      </c>
      <c r="B337" s="5" t="s">
        <v>589</v>
      </c>
      <c r="C337" s="5" t="s">
        <v>635</v>
      </c>
      <c r="D337" s="5" t="s">
        <v>1008</v>
      </c>
      <c r="E337" s="5" t="s">
        <v>1493</v>
      </c>
      <c r="F337" s="22">
        <v>159.2</v>
      </c>
      <c r="G337" s="22">
        <v>0</v>
      </c>
      <c r="H337" s="22">
        <f>F337*AE337</f>
        <v>0</v>
      </c>
      <c r="I337" s="22">
        <f>J337-H337</f>
        <v>0</v>
      </c>
      <c r="J337" s="22">
        <f>F337*G337</f>
        <v>0</v>
      </c>
      <c r="K337" s="22">
        <v>0.001</v>
      </c>
      <c r="L337" s="22">
        <f>F337*K337</f>
        <v>0.15919999999999998</v>
      </c>
      <c r="M337" s="35" t="s">
        <v>1523</v>
      </c>
      <c r="N337" s="35" t="s">
        <v>9</v>
      </c>
      <c r="O337" s="22">
        <f>IF(N337="5",I337,0)</f>
        <v>0</v>
      </c>
      <c r="Z337" s="22">
        <f>IF(AD337=0,J337,0)</f>
        <v>0</v>
      </c>
      <c r="AA337" s="22">
        <f>IF(AD337=15,J337,0)</f>
        <v>0</v>
      </c>
      <c r="AB337" s="22">
        <f>IF(AD337=21,J337,0)</f>
        <v>0</v>
      </c>
      <c r="AD337" s="39">
        <v>15</v>
      </c>
      <c r="AE337" s="39">
        <f>G337*0</f>
        <v>0</v>
      </c>
      <c r="AF337" s="39">
        <f>G337*(1-0)</f>
        <v>0</v>
      </c>
      <c r="AM337" s="39">
        <f>F337*AE337</f>
        <v>0</v>
      </c>
      <c r="AN337" s="39">
        <f>F337*AF337</f>
        <v>0</v>
      </c>
      <c r="AO337" s="40" t="s">
        <v>1546</v>
      </c>
      <c r="AP337" s="40" t="s">
        <v>1600</v>
      </c>
      <c r="AQ337" s="31" t="s">
        <v>1608</v>
      </c>
    </row>
    <row r="338" ht="12.75">
      <c r="D338" s="18" t="s">
        <v>1235</v>
      </c>
    </row>
    <row r="339" spans="4:6" ht="10.5" customHeight="1">
      <c r="D339" s="17" t="s">
        <v>1193</v>
      </c>
      <c r="F339" s="23">
        <v>159.2</v>
      </c>
    </row>
    <row r="340" spans="1:37" ht="12.75">
      <c r="A340" s="4"/>
      <c r="B340" s="14" t="s">
        <v>589</v>
      </c>
      <c r="C340" s="14" t="s">
        <v>795</v>
      </c>
      <c r="D340" s="104" t="s">
        <v>1236</v>
      </c>
      <c r="E340" s="105"/>
      <c r="F340" s="105"/>
      <c r="G340" s="105"/>
      <c r="H340" s="42">
        <f>SUM(H341:H350)</f>
        <v>0</v>
      </c>
      <c r="I340" s="42">
        <f>SUM(I341:I350)</f>
        <v>0</v>
      </c>
      <c r="J340" s="42">
        <f>H340+I340</f>
        <v>0</v>
      </c>
      <c r="K340" s="31"/>
      <c r="L340" s="42">
        <f>SUM(L341:L350)</f>
        <v>5.237662</v>
      </c>
      <c r="M340" s="31"/>
      <c r="P340" s="42">
        <f>IF(Q340="PR",J340,SUM(O341:O350))</f>
        <v>0</v>
      </c>
      <c r="Q340" s="31" t="s">
        <v>1530</v>
      </c>
      <c r="R340" s="42">
        <f>IF(Q340="HS",H340,0)</f>
        <v>0</v>
      </c>
      <c r="S340" s="42">
        <f>IF(Q340="HS",I340-P340,0)</f>
        <v>0</v>
      </c>
      <c r="T340" s="42">
        <f>IF(Q340="PS",H340,0)</f>
        <v>0</v>
      </c>
      <c r="U340" s="42">
        <f>IF(Q340="PS",I340-P340,0)</f>
        <v>0</v>
      </c>
      <c r="V340" s="42">
        <f>IF(Q340="MP",H340,0)</f>
        <v>0</v>
      </c>
      <c r="W340" s="42">
        <f>IF(Q340="MP",I340-P340,0)</f>
        <v>0</v>
      </c>
      <c r="X340" s="42">
        <f>IF(Q340="OM",H340,0)</f>
        <v>0</v>
      </c>
      <c r="Y340" s="31" t="s">
        <v>589</v>
      </c>
      <c r="AI340" s="42">
        <f>SUM(Z341:Z350)</f>
        <v>0</v>
      </c>
      <c r="AJ340" s="42">
        <f>SUM(AA341:AA350)</f>
        <v>0</v>
      </c>
      <c r="AK340" s="42">
        <f>SUM(AB341:AB350)</f>
        <v>0</v>
      </c>
    </row>
    <row r="341" spans="1:43" ht="12.75">
      <c r="A341" s="5" t="s">
        <v>202</v>
      </c>
      <c r="B341" s="5" t="s">
        <v>589</v>
      </c>
      <c r="C341" s="5" t="s">
        <v>796</v>
      </c>
      <c r="D341" s="5" t="s">
        <v>1237</v>
      </c>
      <c r="E341" s="5" t="s">
        <v>1493</v>
      </c>
      <c r="F341" s="22">
        <v>60.6</v>
      </c>
      <c r="G341" s="22">
        <v>0</v>
      </c>
      <c r="H341" s="22">
        <f>F341*AE341</f>
        <v>0</v>
      </c>
      <c r="I341" s="22">
        <f>J341-H341</f>
        <v>0</v>
      </c>
      <c r="J341" s="22">
        <f>F341*G341</f>
        <v>0</v>
      </c>
      <c r="K341" s="22">
        <v>0.00495</v>
      </c>
      <c r="L341" s="22">
        <f>F341*K341</f>
        <v>0.29997</v>
      </c>
      <c r="M341" s="35" t="s">
        <v>1523</v>
      </c>
      <c r="N341" s="35" t="s">
        <v>7</v>
      </c>
      <c r="O341" s="22">
        <f>IF(N341="5",I341,0)</f>
        <v>0</v>
      </c>
      <c r="Z341" s="22">
        <f>IF(AD341=0,J341,0)</f>
        <v>0</v>
      </c>
      <c r="AA341" s="22">
        <f>IF(AD341=15,J341,0)</f>
        <v>0</v>
      </c>
      <c r="AB341" s="22">
        <f>IF(AD341=21,J341,0)</f>
        <v>0</v>
      </c>
      <c r="AD341" s="39">
        <v>15</v>
      </c>
      <c r="AE341" s="39">
        <f>G341*0.147761904761905</f>
        <v>0</v>
      </c>
      <c r="AF341" s="39">
        <f>G341*(1-0.147761904761905)</f>
        <v>0</v>
      </c>
      <c r="AM341" s="39">
        <f>F341*AE341</f>
        <v>0</v>
      </c>
      <c r="AN341" s="39">
        <f>F341*AF341</f>
        <v>0</v>
      </c>
      <c r="AO341" s="40" t="s">
        <v>1572</v>
      </c>
      <c r="AP341" s="40" t="s">
        <v>1601</v>
      </c>
      <c r="AQ341" s="31" t="s">
        <v>1608</v>
      </c>
    </row>
    <row r="342" spans="4:6" ht="10.5" customHeight="1">
      <c r="D342" s="17" t="s">
        <v>1238</v>
      </c>
      <c r="F342" s="23">
        <v>48</v>
      </c>
    </row>
    <row r="343" spans="4:6" ht="10.5" customHeight="1">
      <c r="D343" s="17" t="s">
        <v>1239</v>
      </c>
      <c r="F343" s="23">
        <v>9.9</v>
      </c>
    </row>
    <row r="344" spans="4:6" ht="10.5" customHeight="1">
      <c r="D344" s="17" t="s">
        <v>1240</v>
      </c>
      <c r="F344" s="23">
        <v>6.3</v>
      </c>
    </row>
    <row r="345" spans="4:6" ht="10.5" customHeight="1">
      <c r="D345" s="17" t="s">
        <v>1241</v>
      </c>
      <c r="F345" s="23">
        <v>-3.6</v>
      </c>
    </row>
    <row r="346" spans="1:43" ht="12.75">
      <c r="A346" s="5" t="s">
        <v>203</v>
      </c>
      <c r="B346" s="5" t="s">
        <v>589</v>
      </c>
      <c r="C346" s="5" t="s">
        <v>797</v>
      </c>
      <c r="D346" s="5" t="s">
        <v>1242</v>
      </c>
      <c r="E346" s="5" t="s">
        <v>1495</v>
      </c>
      <c r="F346" s="22">
        <v>28</v>
      </c>
      <c r="G346" s="22">
        <v>0</v>
      </c>
      <c r="H346" s="22">
        <f>F346*AE346</f>
        <v>0</v>
      </c>
      <c r="I346" s="22">
        <f>J346-H346</f>
        <v>0</v>
      </c>
      <c r="J346" s="22">
        <f>F346*G346</f>
        <v>0</v>
      </c>
      <c r="K346" s="22">
        <v>0.00013</v>
      </c>
      <c r="L346" s="22">
        <f>F346*K346</f>
        <v>0.0036399999999999996</v>
      </c>
      <c r="M346" s="35" t="s">
        <v>1523</v>
      </c>
      <c r="N346" s="35" t="s">
        <v>7</v>
      </c>
      <c r="O346" s="22">
        <f>IF(N346="5",I346,0)</f>
        <v>0</v>
      </c>
      <c r="Z346" s="22">
        <f>IF(AD346=0,J346,0)</f>
        <v>0</v>
      </c>
      <c r="AA346" s="22">
        <f>IF(AD346=15,J346,0)</f>
        <v>0</v>
      </c>
      <c r="AB346" s="22">
        <f>IF(AD346=21,J346,0)</f>
        <v>0</v>
      </c>
      <c r="AD346" s="39">
        <v>15</v>
      </c>
      <c r="AE346" s="39">
        <f>G346*0.859256637168142</f>
        <v>0</v>
      </c>
      <c r="AF346" s="39">
        <f>G346*(1-0.859256637168142)</f>
        <v>0</v>
      </c>
      <c r="AM346" s="39">
        <f>F346*AE346</f>
        <v>0</v>
      </c>
      <c r="AN346" s="39">
        <f>F346*AF346</f>
        <v>0</v>
      </c>
      <c r="AO346" s="40" t="s">
        <v>1572</v>
      </c>
      <c r="AP346" s="40" t="s">
        <v>1601</v>
      </c>
      <c r="AQ346" s="31" t="s">
        <v>1608</v>
      </c>
    </row>
    <row r="347" ht="12.75">
      <c r="D347" s="18" t="s">
        <v>1243</v>
      </c>
    </row>
    <row r="348" spans="1:43" ht="12.75">
      <c r="A348" s="6" t="s">
        <v>204</v>
      </c>
      <c r="B348" s="6" t="s">
        <v>589</v>
      </c>
      <c r="C348" s="6" t="s">
        <v>798</v>
      </c>
      <c r="D348" s="6" t="s">
        <v>1244</v>
      </c>
      <c r="E348" s="6" t="s">
        <v>1493</v>
      </c>
      <c r="F348" s="24">
        <v>66.66</v>
      </c>
      <c r="G348" s="24">
        <v>0</v>
      </c>
      <c r="H348" s="24">
        <f>F348*AE348</f>
        <v>0</v>
      </c>
      <c r="I348" s="24">
        <f>J348-H348</f>
        <v>0</v>
      </c>
      <c r="J348" s="24">
        <f>F348*G348</f>
        <v>0</v>
      </c>
      <c r="K348" s="24">
        <v>0.0122</v>
      </c>
      <c r="L348" s="24">
        <f>F348*K348</f>
        <v>0.813252</v>
      </c>
      <c r="M348" s="36" t="s">
        <v>1523</v>
      </c>
      <c r="N348" s="36" t="s">
        <v>1526</v>
      </c>
      <c r="O348" s="24">
        <f>IF(N348="5",I348,0)</f>
        <v>0</v>
      </c>
      <c r="Z348" s="24">
        <f>IF(AD348=0,J348,0)</f>
        <v>0</v>
      </c>
      <c r="AA348" s="24">
        <f>IF(AD348=15,J348,0)</f>
        <v>0</v>
      </c>
      <c r="AB348" s="24">
        <f>IF(AD348=21,J348,0)</f>
        <v>0</v>
      </c>
      <c r="AD348" s="39">
        <v>15</v>
      </c>
      <c r="AE348" s="39">
        <f>G348*1</f>
        <v>0</v>
      </c>
      <c r="AF348" s="39">
        <f>G348*(1-1)</f>
        <v>0</v>
      </c>
      <c r="AM348" s="39">
        <f>F348*AE348</f>
        <v>0</v>
      </c>
      <c r="AN348" s="39">
        <f>F348*AF348</f>
        <v>0</v>
      </c>
      <c r="AO348" s="40" t="s">
        <v>1572</v>
      </c>
      <c r="AP348" s="40" t="s">
        <v>1601</v>
      </c>
      <c r="AQ348" s="31" t="s">
        <v>1608</v>
      </c>
    </row>
    <row r="349" spans="4:6" ht="10.5" customHeight="1">
      <c r="D349" s="17" t="s">
        <v>1245</v>
      </c>
      <c r="F349" s="23">
        <v>66.66</v>
      </c>
    </row>
    <row r="350" spans="1:43" ht="12.75">
      <c r="A350" s="5" t="s">
        <v>205</v>
      </c>
      <c r="B350" s="5" t="s">
        <v>589</v>
      </c>
      <c r="C350" s="5" t="s">
        <v>799</v>
      </c>
      <c r="D350" s="5" t="s">
        <v>1246</v>
      </c>
      <c r="E350" s="5" t="s">
        <v>1493</v>
      </c>
      <c r="F350" s="22">
        <v>60.6</v>
      </c>
      <c r="G350" s="22">
        <v>0</v>
      </c>
      <c r="H350" s="22">
        <f>F350*AE350</f>
        <v>0</v>
      </c>
      <c r="I350" s="22">
        <f>J350-H350</f>
        <v>0</v>
      </c>
      <c r="J350" s="22">
        <f>F350*G350</f>
        <v>0</v>
      </c>
      <c r="K350" s="22">
        <v>0.068</v>
      </c>
      <c r="L350" s="22">
        <f>F350*K350</f>
        <v>4.1208</v>
      </c>
      <c r="M350" s="35" t="s">
        <v>1523</v>
      </c>
      <c r="N350" s="35" t="s">
        <v>9</v>
      </c>
      <c r="O350" s="22">
        <f>IF(N350="5",I350,0)</f>
        <v>0</v>
      </c>
      <c r="Z350" s="22">
        <f>IF(AD350=0,J350,0)</f>
        <v>0</v>
      </c>
      <c r="AA350" s="22">
        <f>IF(AD350=15,J350,0)</f>
        <v>0</v>
      </c>
      <c r="AB350" s="22">
        <f>IF(AD350=21,J350,0)</f>
        <v>0</v>
      </c>
      <c r="AD350" s="39">
        <v>15</v>
      </c>
      <c r="AE350" s="39">
        <f>G350*0</f>
        <v>0</v>
      </c>
      <c r="AF350" s="39">
        <f>G350*(1-0)</f>
        <v>0</v>
      </c>
      <c r="AM350" s="39">
        <f>F350*AE350</f>
        <v>0</v>
      </c>
      <c r="AN350" s="39">
        <f>F350*AF350</f>
        <v>0</v>
      </c>
      <c r="AO350" s="40" t="s">
        <v>1572</v>
      </c>
      <c r="AP350" s="40" t="s">
        <v>1601</v>
      </c>
      <c r="AQ350" s="31" t="s">
        <v>1608</v>
      </c>
    </row>
    <row r="351" spans="4:6" ht="10.5" customHeight="1">
      <c r="D351" s="17" t="s">
        <v>1238</v>
      </c>
      <c r="F351" s="23">
        <v>48</v>
      </c>
    </row>
    <row r="352" spans="4:6" ht="10.5" customHeight="1">
      <c r="D352" s="17" t="s">
        <v>1239</v>
      </c>
      <c r="F352" s="23">
        <v>9.9</v>
      </c>
    </row>
    <row r="353" spans="4:6" ht="10.5" customHeight="1">
      <c r="D353" s="17" t="s">
        <v>1240</v>
      </c>
      <c r="F353" s="23">
        <v>6.3</v>
      </c>
    </row>
    <row r="354" spans="4:6" ht="10.5" customHeight="1">
      <c r="D354" s="17" t="s">
        <v>1247</v>
      </c>
      <c r="F354" s="23">
        <v>-3.6</v>
      </c>
    </row>
    <row r="355" spans="1:37" ht="12.75">
      <c r="A355" s="4"/>
      <c r="B355" s="14" t="s">
        <v>589</v>
      </c>
      <c r="C355" s="14" t="s">
        <v>638</v>
      </c>
      <c r="D355" s="104" t="s">
        <v>1012</v>
      </c>
      <c r="E355" s="105"/>
      <c r="F355" s="105"/>
      <c r="G355" s="105"/>
      <c r="H355" s="42">
        <f>SUM(H356:H358)</f>
        <v>0</v>
      </c>
      <c r="I355" s="42">
        <f>SUM(I356:I358)</f>
        <v>0</v>
      </c>
      <c r="J355" s="42">
        <f>H355+I355</f>
        <v>0</v>
      </c>
      <c r="K355" s="31"/>
      <c r="L355" s="42">
        <f>SUM(L356:L358)</f>
        <v>0.013766200000000001</v>
      </c>
      <c r="M355" s="31"/>
      <c r="P355" s="42">
        <f>IF(Q355="PR",J355,SUM(O356:O358))</f>
        <v>0</v>
      </c>
      <c r="Q355" s="31" t="s">
        <v>1530</v>
      </c>
      <c r="R355" s="42">
        <f>IF(Q355="HS",H355,0)</f>
        <v>0</v>
      </c>
      <c r="S355" s="42">
        <f>IF(Q355="HS",I355-P355,0)</f>
        <v>0</v>
      </c>
      <c r="T355" s="42">
        <f>IF(Q355="PS",H355,0)</f>
        <v>0</v>
      </c>
      <c r="U355" s="42">
        <f>IF(Q355="PS",I355-P355,0)</f>
        <v>0</v>
      </c>
      <c r="V355" s="42">
        <f>IF(Q355="MP",H355,0)</f>
        <v>0</v>
      </c>
      <c r="W355" s="42">
        <f>IF(Q355="MP",I355-P355,0)</f>
        <v>0</v>
      </c>
      <c r="X355" s="42">
        <f>IF(Q355="OM",H355,0)</f>
        <v>0</v>
      </c>
      <c r="Y355" s="31" t="s">
        <v>589</v>
      </c>
      <c r="AI355" s="42">
        <f>SUM(Z356:Z358)</f>
        <v>0</v>
      </c>
      <c r="AJ355" s="42">
        <f>SUM(AA356:AA358)</f>
        <v>0</v>
      </c>
      <c r="AK355" s="42">
        <f>SUM(AB356:AB358)</f>
        <v>0</v>
      </c>
    </row>
    <row r="356" spans="1:43" ht="12.75">
      <c r="A356" s="5" t="s">
        <v>206</v>
      </c>
      <c r="B356" s="5" t="s">
        <v>589</v>
      </c>
      <c r="C356" s="5" t="s">
        <v>639</v>
      </c>
      <c r="D356" s="5" t="s">
        <v>1013</v>
      </c>
      <c r="E356" s="5" t="s">
        <v>1493</v>
      </c>
      <c r="F356" s="22">
        <v>376.62</v>
      </c>
      <c r="G356" s="22">
        <v>0</v>
      </c>
      <c r="H356" s="22">
        <f>F356*AE356</f>
        <v>0</v>
      </c>
      <c r="I356" s="22">
        <f>J356-H356</f>
        <v>0</v>
      </c>
      <c r="J356" s="22">
        <f>F356*G356</f>
        <v>0</v>
      </c>
      <c r="K356" s="22">
        <v>1E-05</v>
      </c>
      <c r="L356" s="22">
        <f>F356*K356</f>
        <v>0.0037662000000000004</v>
      </c>
      <c r="M356" s="35" t="s">
        <v>1523</v>
      </c>
      <c r="N356" s="35" t="s">
        <v>7</v>
      </c>
      <c r="O356" s="22">
        <f>IF(N356="5",I356,0)</f>
        <v>0</v>
      </c>
      <c r="Z356" s="22">
        <f>IF(AD356=0,J356,0)</f>
        <v>0</v>
      </c>
      <c r="AA356" s="22">
        <f>IF(AD356=15,J356,0)</f>
        <v>0</v>
      </c>
      <c r="AB356" s="22">
        <f>IF(AD356=21,J356,0)</f>
        <v>0</v>
      </c>
      <c r="AD356" s="39">
        <v>15</v>
      </c>
      <c r="AE356" s="39">
        <f>G356*0.0915384615384615</f>
        <v>0</v>
      </c>
      <c r="AF356" s="39">
        <f>G356*(1-0.0915384615384615)</f>
        <v>0</v>
      </c>
      <c r="AM356" s="39">
        <f>F356*AE356</f>
        <v>0</v>
      </c>
      <c r="AN356" s="39">
        <f>F356*AF356</f>
        <v>0</v>
      </c>
      <c r="AO356" s="40" t="s">
        <v>1548</v>
      </c>
      <c r="AP356" s="40" t="s">
        <v>1601</v>
      </c>
      <c r="AQ356" s="31" t="s">
        <v>1608</v>
      </c>
    </row>
    <row r="357" ht="12.75">
      <c r="D357" s="18" t="s">
        <v>1248</v>
      </c>
    </row>
    <row r="358" spans="1:43" ht="12.75">
      <c r="A358" s="6" t="s">
        <v>207</v>
      </c>
      <c r="B358" s="6" t="s">
        <v>589</v>
      </c>
      <c r="C358" s="6" t="s">
        <v>640</v>
      </c>
      <c r="D358" s="6" t="s">
        <v>1015</v>
      </c>
      <c r="E358" s="6" t="s">
        <v>1496</v>
      </c>
      <c r="F358" s="24">
        <v>10</v>
      </c>
      <c r="G358" s="24">
        <v>0</v>
      </c>
      <c r="H358" s="24">
        <f>F358*AE358</f>
        <v>0</v>
      </c>
      <c r="I358" s="24">
        <f>J358-H358</f>
        <v>0</v>
      </c>
      <c r="J358" s="24">
        <f>F358*G358</f>
        <v>0</v>
      </c>
      <c r="K358" s="24">
        <v>0.001</v>
      </c>
      <c r="L358" s="24">
        <f>F358*K358</f>
        <v>0.01</v>
      </c>
      <c r="M358" s="36" t="s">
        <v>1523</v>
      </c>
      <c r="N358" s="36" t="s">
        <v>1526</v>
      </c>
      <c r="O358" s="24">
        <f>IF(N358="5",I358,0)</f>
        <v>0</v>
      </c>
      <c r="Z358" s="24">
        <f>IF(AD358=0,J358,0)</f>
        <v>0</v>
      </c>
      <c r="AA358" s="24">
        <f>IF(AD358=15,J358,0)</f>
        <v>0</v>
      </c>
      <c r="AB358" s="24">
        <f>IF(AD358=21,J358,0)</f>
        <v>0</v>
      </c>
      <c r="AD358" s="39">
        <v>15</v>
      </c>
      <c r="AE358" s="39">
        <f>G358*1</f>
        <v>0</v>
      </c>
      <c r="AF358" s="39">
        <f>G358*(1-1)</f>
        <v>0</v>
      </c>
      <c r="AM358" s="39">
        <f>F358*AE358</f>
        <v>0</v>
      </c>
      <c r="AN358" s="39">
        <f>F358*AF358</f>
        <v>0</v>
      </c>
      <c r="AO358" s="40" t="s">
        <v>1548</v>
      </c>
      <c r="AP358" s="40" t="s">
        <v>1601</v>
      </c>
      <c r="AQ358" s="31" t="s">
        <v>1608</v>
      </c>
    </row>
    <row r="359" spans="1:37" ht="12.75">
      <c r="A359" s="4"/>
      <c r="B359" s="14" t="s">
        <v>589</v>
      </c>
      <c r="C359" s="14" t="s">
        <v>641</v>
      </c>
      <c r="D359" s="104" t="s">
        <v>1016</v>
      </c>
      <c r="E359" s="105"/>
      <c r="F359" s="105"/>
      <c r="G359" s="105"/>
      <c r="H359" s="42">
        <f>SUM(H360:H362)</f>
        <v>0</v>
      </c>
      <c r="I359" s="42">
        <f>SUM(I360:I362)</f>
        <v>0</v>
      </c>
      <c r="J359" s="42">
        <f>H359+I359</f>
        <v>0</v>
      </c>
      <c r="K359" s="31"/>
      <c r="L359" s="42">
        <f>SUM(L360:L362)</f>
        <v>0.2641366</v>
      </c>
      <c r="M359" s="31"/>
      <c r="P359" s="42">
        <f>IF(Q359="PR",J359,SUM(O360:O362))</f>
        <v>0</v>
      </c>
      <c r="Q359" s="31" t="s">
        <v>1530</v>
      </c>
      <c r="R359" s="42">
        <f>IF(Q359="HS",H359,0)</f>
        <v>0</v>
      </c>
      <c r="S359" s="42">
        <f>IF(Q359="HS",I359-P359,0)</f>
        <v>0</v>
      </c>
      <c r="T359" s="42">
        <f>IF(Q359="PS",H359,0)</f>
        <v>0</v>
      </c>
      <c r="U359" s="42">
        <f>IF(Q359="PS",I359-P359,0)</f>
        <v>0</v>
      </c>
      <c r="V359" s="42">
        <f>IF(Q359="MP",H359,0)</f>
        <v>0</v>
      </c>
      <c r="W359" s="42">
        <f>IF(Q359="MP",I359-P359,0)</f>
        <v>0</v>
      </c>
      <c r="X359" s="42">
        <f>IF(Q359="OM",H359,0)</f>
        <v>0</v>
      </c>
      <c r="Y359" s="31" t="s">
        <v>589</v>
      </c>
      <c r="AI359" s="42">
        <f>SUM(Z360:Z362)</f>
        <v>0</v>
      </c>
      <c r="AJ359" s="42">
        <f>SUM(AA360:AA362)</f>
        <v>0</v>
      </c>
      <c r="AK359" s="42">
        <f>SUM(AB360:AB362)</f>
        <v>0</v>
      </c>
    </row>
    <row r="360" spans="1:43" ht="12.75">
      <c r="A360" s="5" t="s">
        <v>208</v>
      </c>
      <c r="B360" s="5" t="s">
        <v>589</v>
      </c>
      <c r="C360" s="5" t="s">
        <v>642</v>
      </c>
      <c r="D360" s="5" t="s">
        <v>1017</v>
      </c>
      <c r="E360" s="5" t="s">
        <v>1493</v>
      </c>
      <c r="F360" s="22">
        <v>574.21</v>
      </c>
      <c r="G360" s="22">
        <v>0</v>
      </c>
      <c r="H360" s="22">
        <f>F360*AE360</f>
        <v>0</v>
      </c>
      <c r="I360" s="22">
        <f>J360-H360</f>
        <v>0</v>
      </c>
      <c r="J360" s="22">
        <f>F360*G360</f>
        <v>0</v>
      </c>
      <c r="K360" s="22">
        <v>0.00039</v>
      </c>
      <c r="L360" s="22">
        <f>F360*K360</f>
        <v>0.2239419</v>
      </c>
      <c r="M360" s="35" t="s">
        <v>1523</v>
      </c>
      <c r="N360" s="35" t="s">
        <v>7</v>
      </c>
      <c r="O360" s="22">
        <f>IF(N360="5",I360,0)</f>
        <v>0</v>
      </c>
      <c r="Z360" s="22">
        <f>IF(AD360=0,J360,0)</f>
        <v>0</v>
      </c>
      <c r="AA360" s="22">
        <f>IF(AD360=15,J360,0)</f>
        <v>0</v>
      </c>
      <c r="AB360" s="22">
        <f>IF(AD360=21,J360,0)</f>
        <v>0</v>
      </c>
      <c r="AD360" s="39">
        <v>15</v>
      </c>
      <c r="AE360" s="39">
        <f>G360*0.253731343283582</f>
        <v>0</v>
      </c>
      <c r="AF360" s="39">
        <f>G360*(1-0.253731343283582)</f>
        <v>0</v>
      </c>
      <c r="AM360" s="39">
        <f>F360*AE360</f>
        <v>0</v>
      </c>
      <c r="AN360" s="39">
        <f>F360*AF360</f>
        <v>0</v>
      </c>
      <c r="AO360" s="40" t="s">
        <v>1549</v>
      </c>
      <c r="AP360" s="40" t="s">
        <v>1601</v>
      </c>
      <c r="AQ360" s="31" t="s">
        <v>1608</v>
      </c>
    </row>
    <row r="361" ht="12.75">
      <c r="D361" s="18" t="s">
        <v>1249</v>
      </c>
    </row>
    <row r="362" spans="1:43" ht="12.75">
      <c r="A362" s="5" t="s">
        <v>209</v>
      </c>
      <c r="B362" s="5" t="s">
        <v>589</v>
      </c>
      <c r="C362" s="5" t="s">
        <v>643</v>
      </c>
      <c r="D362" s="5" t="s">
        <v>1020</v>
      </c>
      <c r="E362" s="5" t="s">
        <v>1493</v>
      </c>
      <c r="F362" s="22">
        <v>574.21</v>
      </c>
      <c r="G362" s="22">
        <v>0</v>
      </c>
      <c r="H362" s="22">
        <f>F362*AE362</f>
        <v>0</v>
      </c>
      <c r="I362" s="22">
        <f>J362-H362</f>
        <v>0</v>
      </c>
      <c r="J362" s="22">
        <f>F362*G362</f>
        <v>0</v>
      </c>
      <c r="K362" s="22">
        <v>7E-05</v>
      </c>
      <c r="L362" s="22">
        <f>F362*K362</f>
        <v>0.0401947</v>
      </c>
      <c r="M362" s="35" t="s">
        <v>1523</v>
      </c>
      <c r="N362" s="35" t="s">
        <v>7</v>
      </c>
      <c r="O362" s="22">
        <f>IF(N362="5",I362,0)</f>
        <v>0</v>
      </c>
      <c r="Z362" s="22">
        <f>IF(AD362=0,J362,0)</f>
        <v>0</v>
      </c>
      <c r="AA362" s="22">
        <f>IF(AD362=15,J362,0)</f>
        <v>0</v>
      </c>
      <c r="AB362" s="22">
        <f>IF(AD362=21,J362,0)</f>
        <v>0</v>
      </c>
      <c r="AD362" s="39">
        <v>15</v>
      </c>
      <c r="AE362" s="39">
        <f>G362*0.296066252587992</f>
        <v>0</v>
      </c>
      <c r="AF362" s="39">
        <f>G362*(1-0.296066252587992)</f>
        <v>0</v>
      </c>
      <c r="AM362" s="39">
        <f>F362*AE362</f>
        <v>0</v>
      </c>
      <c r="AN362" s="39">
        <f>F362*AF362</f>
        <v>0</v>
      </c>
      <c r="AO362" s="40" t="s">
        <v>1549</v>
      </c>
      <c r="AP362" s="40" t="s">
        <v>1601</v>
      </c>
      <c r="AQ362" s="31" t="s">
        <v>1608</v>
      </c>
    </row>
    <row r="363" spans="4:6" ht="10.5" customHeight="1">
      <c r="D363" s="17" t="s">
        <v>1250</v>
      </c>
      <c r="F363" s="23">
        <v>574.21</v>
      </c>
    </row>
    <row r="364" spans="1:37" ht="12.75">
      <c r="A364" s="4"/>
      <c r="B364" s="14" t="s">
        <v>589</v>
      </c>
      <c r="C364" s="14" t="s">
        <v>96</v>
      </c>
      <c r="D364" s="104" t="s">
        <v>1021</v>
      </c>
      <c r="E364" s="105"/>
      <c r="F364" s="105"/>
      <c r="G364" s="105"/>
      <c r="H364" s="42">
        <f>SUM(H365:H366)</f>
        <v>0</v>
      </c>
      <c r="I364" s="42">
        <f>SUM(I365:I366)</f>
        <v>0</v>
      </c>
      <c r="J364" s="42">
        <f>H364+I364</f>
        <v>0</v>
      </c>
      <c r="K364" s="31"/>
      <c r="L364" s="42">
        <f>SUM(L365:L366)</f>
        <v>0</v>
      </c>
      <c r="M364" s="31"/>
      <c r="P364" s="42">
        <f>IF(Q364="PR",J364,SUM(O365:O366))</f>
        <v>0</v>
      </c>
      <c r="Q364" s="31" t="s">
        <v>1529</v>
      </c>
      <c r="R364" s="42">
        <f>IF(Q364="HS",H364,0)</f>
        <v>0</v>
      </c>
      <c r="S364" s="42">
        <f>IF(Q364="HS",I364-P364,0)</f>
        <v>0</v>
      </c>
      <c r="T364" s="42">
        <f>IF(Q364="PS",H364,0)</f>
        <v>0</v>
      </c>
      <c r="U364" s="42">
        <f>IF(Q364="PS",I364-P364,0)</f>
        <v>0</v>
      </c>
      <c r="V364" s="42">
        <f>IF(Q364="MP",H364,0)</f>
        <v>0</v>
      </c>
      <c r="W364" s="42">
        <f>IF(Q364="MP",I364-P364,0)</f>
        <v>0</v>
      </c>
      <c r="X364" s="42">
        <f>IF(Q364="OM",H364,0)</f>
        <v>0</v>
      </c>
      <c r="Y364" s="31" t="s">
        <v>589</v>
      </c>
      <c r="AI364" s="42">
        <f>SUM(Z365:Z366)</f>
        <v>0</v>
      </c>
      <c r="AJ364" s="42">
        <f>SUM(AA365:AA366)</f>
        <v>0</v>
      </c>
      <c r="AK364" s="42">
        <f>SUM(AB365:AB366)</f>
        <v>0</v>
      </c>
    </row>
    <row r="365" spans="1:43" ht="12.75">
      <c r="A365" s="5" t="s">
        <v>210</v>
      </c>
      <c r="B365" s="5" t="s">
        <v>589</v>
      </c>
      <c r="C365" s="5" t="s">
        <v>644</v>
      </c>
      <c r="D365" s="5" t="s">
        <v>1251</v>
      </c>
      <c r="E365" s="5" t="s">
        <v>1497</v>
      </c>
      <c r="F365" s="22">
        <v>30</v>
      </c>
      <c r="G365" s="22">
        <v>0</v>
      </c>
      <c r="H365" s="22">
        <f>F365*AE365</f>
        <v>0</v>
      </c>
      <c r="I365" s="22">
        <f>J365-H365</f>
        <v>0</v>
      </c>
      <c r="J365" s="22">
        <f>F365*G365</f>
        <v>0</v>
      </c>
      <c r="K365" s="22">
        <v>0</v>
      </c>
      <c r="L365" s="22">
        <f>F365*K365</f>
        <v>0</v>
      </c>
      <c r="M365" s="35" t="s">
        <v>1523</v>
      </c>
      <c r="N365" s="35" t="s">
        <v>7</v>
      </c>
      <c r="O365" s="22">
        <f>IF(N365="5",I365,0)</f>
        <v>0</v>
      </c>
      <c r="Z365" s="22">
        <f>IF(AD365=0,J365,0)</f>
        <v>0</v>
      </c>
      <c r="AA365" s="22">
        <f>IF(AD365=15,J365,0)</f>
        <v>0</v>
      </c>
      <c r="AB365" s="22">
        <f>IF(AD365=21,J365,0)</f>
        <v>0</v>
      </c>
      <c r="AD365" s="39">
        <v>15</v>
      </c>
      <c r="AE365" s="39">
        <f>G365*0</f>
        <v>0</v>
      </c>
      <c r="AF365" s="39">
        <f>G365*(1-0)</f>
        <v>0</v>
      </c>
      <c r="AM365" s="39">
        <f>F365*AE365</f>
        <v>0</v>
      </c>
      <c r="AN365" s="39">
        <f>F365*AF365</f>
        <v>0</v>
      </c>
      <c r="AO365" s="40" t="s">
        <v>1550</v>
      </c>
      <c r="AP365" s="40" t="s">
        <v>1602</v>
      </c>
      <c r="AQ365" s="31" t="s">
        <v>1608</v>
      </c>
    </row>
    <row r="366" spans="1:43" ht="12.75">
      <c r="A366" s="5" t="s">
        <v>211</v>
      </c>
      <c r="B366" s="5" t="s">
        <v>589</v>
      </c>
      <c r="C366" s="5" t="s">
        <v>800</v>
      </c>
      <c r="D366" s="5" t="s">
        <v>1252</v>
      </c>
      <c r="E366" s="5" t="s">
        <v>1497</v>
      </c>
      <c r="F366" s="22">
        <v>30</v>
      </c>
      <c r="G366" s="22">
        <v>0</v>
      </c>
      <c r="H366" s="22">
        <f>F366*AE366</f>
        <v>0</v>
      </c>
      <c r="I366" s="22">
        <f>J366-H366</f>
        <v>0</v>
      </c>
      <c r="J366" s="22">
        <f>F366*G366</f>
        <v>0</v>
      </c>
      <c r="K366" s="22">
        <v>0</v>
      </c>
      <c r="L366" s="22">
        <f>F366*K366</f>
        <v>0</v>
      </c>
      <c r="M366" s="35" t="s">
        <v>1523</v>
      </c>
      <c r="N366" s="35" t="s">
        <v>7</v>
      </c>
      <c r="O366" s="22">
        <f>IF(N366="5",I366,0)</f>
        <v>0</v>
      </c>
      <c r="Z366" s="22">
        <f>IF(AD366=0,J366,0)</f>
        <v>0</v>
      </c>
      <c r="AA366" s="22">
        <f>IF(AD366=15,J366,0)</f>
        <v>0</v>
      </c>
      <c r="AB366" s="22">
        <f>IF(AD366=21,J366,0)</f>
        <v>0</v>
      </c>
      <c r="AD366" s="39">
        <v>15</v>
      </c>
      <c r="AE366" s="39">
        <f>G366*0</f>
        <v>0</v>
      </c>
      <c r="AF366" s="39">
        <f>G366*(1-0)</f>
        <v>0</v>
      </c>
      <c r="AM366" s="39">
        <f>F366*AE366</f>
        <v>0</v>
      </c>
      <c r="AN366" s="39">
        <f>F366*AF366</f>
        <v>0</v>
      </c>
      <c r="AO366" s="40" t="s">
        <v>1550</v>
      </c>
      <c r="AP366" s="40" t="s">
        <v>1602</v>
      </c>
      <c r="AQ366" s="31" t="s">
        <v>1608</v>
      </c>
    </row>
    <row r="367" ht="12.75">
      <c r="D367" s="18" t="s">
        <v>1253</v>
      </c>
    </row>
    <row r="368" spans="1:37" ht="12.75">
      <c r="A368" s="4"/>
      <c r="B368" s="14" t="s">
        <v>589</v>
      </c>
      <c r="C368" s="14" t="s">
        <v>100</v>
      </c>
      <c r="D368" s="104" t="s">
        <v>1024</v>
      </c>
      <c r="E368" s="105"/>
      <c r="F368" s="105"/>
      <c r="G368" s="105"/>
      <c r="H368" s="42">
        <f>SUM(H369:H369)</f>
        <v>0</v>
      </c>
      <c r="I368" s="42">
        <f>SUM(I369:I369)</f>
        <v>0</v>
      </c>
      <c r="J368" s="42">
        <f>H368+I368</f>
        <v>0</v>
      </c>
      <c r="K368" s="31"/>
      <c r="L368" s="42">
        <f>SUM(L369:L369)</f>
        <v>0.2991098</v>
      </c>
      <c r="M368" s="31"/>
      <c r="P368" s="42">
        <f>IF(Q368="PR",J368,SUM(O369:O369))</f>
        <v>0</v>
      </c>
      <c r="Q368" s="31" t="s">
        <v>1529</v>
      </c>
      <c r="R368" s="42">
        <f>IF(Q368="HS",H368,0)</f>
        <v>0</v>
      </c>
      <c r="S368" s="42">
        <f>IF(Q368="HS",I368-P368,0)</f>
        <v>0</v>
      </c>
      <c r="T368" s="42">
        <f>IF(Q368="PS",H368,0)</f>
        <v>0</v>
      </c>
      <c r="U368" s="42">
        <f>IF(Q368="PS",I368-P368,0)</f>
        <v>0</v>
      </c>
      <c r="V368" s="42">
        <f>IF(Q368="MP",H368,0)</f>
        <v>0</v>
      </c>
      <c r="W368" s="42">
        <f>IF(Q368="MP",I368-P368,0)</f>
        <v>0</v>
      </c>
      <c r="X368" s="42">
        <f>IF(Q368="OM",H368,0)</f>
        <v>0</v>
      </c>
      <c r="Y368" s="31" t="s">
        <v>589</v>
      </c>
      <c r="AI368" s="42">
        <f>SUM(Z369:Z369)</f>
        <v>0</v>
      </c>
      <c r="AJ368" s="42">
        <f>SUM(AA369:AA369)</f>
        <v>0</v>
      </c>
      <c r="AK368" s="42">
        <f>SUM(AB369:AB369)</f>
        <v>0</v>
      </c>
    </row>
    <row r="369" spans="1:43" ht="12.75">
      <c r="A369" s="5" t="s">
        <v>212</v>
      </c>
      <c r="B369" s="5" t="s">
        <v>589</v>
      </c>
      <c r="C369" s="5" t="s">
        <v>645</v>
      </c>
      <c r="D369" s="5" t="s">
        <v>1025</v>
      </c>
      <c r="E369" s="5" t="s">
        <v>1493</v>
      </c>
      <c r="F369" s="22">
        <v>189.31</v>
      </c>
      <c r="G369" s="22">
        <v>0</v>
      </c>
      <c r="H369" s="22">
        <f>F369*AE369</f>
        <v>0</v>
      </c>
      <c r="I369" s="22">
        <f>J369-H369</f>
        <v>0</v>
      </c>
      <c r="J369" s="22">
        <f>F369*G369</f>
        <v>0</v>
      </c>
      <c r="K369" s="22">
        <v>0.00158</v>
      </c>
      <c r="L369" s="22">
        <f>F369*K369</f>
        <v>0.2991098</v>
      </c>
      <c r="M369" s="35" t="s">
        <v>1523</v>
      </c>
      <c r="N369" s="35" t="s">
        <v>7</v>
      </c>
      <c r="O369" s="22">
        <f>IF(N369="5",I369,0)</f>
        <v>0</v>
      </c>
      <c r="Z369" s="22">
        <f>IF(AD369=0,J369,0)</f>
        <v>0</v>
      </c>
      <c r="AA369" s="22">
        <f>IF(AD369=15,J369,0)</f>
        <v>0</v>
      </c>
      <c r="AB369" s="22">
        <f>IF(AD369=21,J369,0)</f>
        <v>0</v>
      </c>
      <c r="AD369" s="39">
        <v>15</v>
      </c>
      <c r="AE369" s="39">
        <f>G369*0.455303820267324</f>
        <v>0</v>
      </c>
      <c r="AF369" s="39">
        <f>G369*(1-0.455303820267324)</f>
        <v>0</v>
      </c>
      <c r="AM369" s="39">
        <f>F369*AE369</f>
        <v>0</v>
      </c>
      <c r="AN369" s="39">
        <f>F369*AF369</f>
        <v>0</v>
      </c>
      <c r="AO369" s="40" t="s">
        <v>1551</v>
      </c>
      <c r="AP369" s="40" t="s">
        <v>1602</v>
      </c>
      <c r="AQ369" s="31" t="s">
        <v>1608</v>
      </c>
    </row>
    <row r="370" spans="1:37" ht="12.75">
      <c r="A370" s="4"/>
      <c r="B370" s="14" t="s">
        <v>589</v>
      </c>
      <c r="C370" s="14" t="s">
        <v>101</v>
      </c>
      <c r="D370" s="104" t="s">
        <v>1027</v>
      </c>
      <c r="E370" s="105"/>
      <c r="F370" s="105"/>
      <c r="G370" s="105"/>
      <c r="H370" s="42">
        <f>SUM(H371:H371)</f>
        <v>0</v>
      </c>
      <c r="I370" s="42">
        <f>SUM(I371:I371)</f>
        <v>0</v>
      </c>
      <c r="J370" s="42">
        <f>H370+I370</f>
        <v>0</v>
      </c>
      <c r="K370" s="31"/>
      <c r="L370" s="42">
        <f>SUM(L371:L371)</f>
        <v>0.007572400000000001</v>
      </c>
      <c r="M370" s="31"/>
      <c r="P370" s="42">
        <f>IF(Q370="PR",J370,SUM(O371:O371))</f>
        <v>0</v>
      </c>
      <c r="Q370" s="31" t="s">
        <v>1529</v>
      </c>
      <c r="R370" s="42">
        <f>IF(Q370="HS",H370,0)</f>
        <v>0</v>
      </c>
      <c r="S370" s="42">
        <f>IF(Q370="HS",I370-P370,0)</f>
        <v>0</v>
      </c>
      <c r="T370" s="42">
        <f>IF(Q370="PS",H370,0)</f>
        <v>0</v>
      </c>
      <c r="U370" s="42">
        <f>IF(Q370="PS",I370-P370,0)</f>
        <v>0</v>
      </c>
      <c r="V370" s="42">
        <f>IF(Q370="MP",H370,0)</f>
        <v>0</v>
      </c>
      <c r="W370" s="42">
        <f>IF(Q370="MP",I370-P370,0)</f>
        <v>0</v>
      </c>
      <c r="X370" s="42">
        <f>IF(Q370="OM",H370,0)</f>
        <v>0</v>
      </c>
      <c r="Y370" s="31" t="s">
        <v>589</v>
      </c>
      <c r="AI370" s="42">
        <f>SUM(Z371:Z371)</f>
        <v>0</v>
      </c>
      <c r="AJ370" s="42">
        <f>SUM(AA371:AA371)</f>
        <v>0</v>
      </c>
      <c r="AK370" s="42">
        <f>SUM(AB371:AB371)</f>
        <v>0</v>
      </c>
    </row>
    <row r="371" spans="1:43" ht="12.75">
      <c r="A371" s="5" t="s">
        <v>213</v>
      </c>
      <c r="B371" s="5" t="s">
        <v>589</v>
      </c>
      <c r="C371" s="5" t="s">
        <v>646</v>
      </c>
      <c r="D371" s="5" t="s">
        <v>1028</v>
      </c>
      <c r="E371" s="5" t="s">
        <v>1493</v>
      </c>
      <c r="F371" s="22">
        <v>189.31</v>
      </c>
      <c r="G371" s="22">
        <v>0</v>
      </c>
      <c r="H371" s="22">
        <f>F371*AE371</f>
        <v>0</v>
      </c>
      <c r="I371" s="22">
        <f>J371-H371</f>
        <v>0</v>
      </c>
      <c r="J371" s="22">
        <f>F371*G371</f>
        <v>0</v>
      </c>
      <c r="K371" s="22">
        <v>4E-05</v>
      </c>
      <c r="L371" s="22">
        <f>F371*K371</f>
        <v>0.007572400000000001</v>
      </c>
      <c r="M371" s="35" t="s">
        <v>1523</v>
      </c>
      <c r="N371" s="35" t="s">
        <v>7</v>
      </c>
      <c r="O371" s="22">
        <f>IF(N371="5",I371,0)</f>
        <v>0</v>
      </c>
      <c r="Z371" s="22">
        <f>IF(AD371=0,J371,0)</f>
        <v>0</v>
      </c>
      <c r="AA371" s="22">
        <f>IF(AD371=15,J371,0)</f>
        <v>0</v>
      </c>
      <c r="AB371" s="22">
        <f>IF(AD371=21,J371,0)</f>
        <v>0</v>
      </c>
      <c r="AD371" s="39">
        <v>15</v>
      </c>
      <c r="AE371" s="39">
        <f>G371*0.0183098591549296</f>
        <v>0</v>
      </c>
      <c r="AF371" s="39">
        <f>G371*(1-0.0183098591549296)</f>
        <v>0</v>
      </c>
      <c r="AM371" s="39">
        <f>F371*AE371</f>
        <v>0</v>
      </c>
      <c r="AN371" s="39">
        <f>F371*AF371</f>
        <v>0</v>
      </c>
      <c r="AO371" s="40" t="s">
        <v>1552</v>
      </c>
      <c r="AP371" s="40" t="s">
        <v>1602</v>
      </c>
      <c r="AQ371" s="31" t="s">
        <v>1608</v>
      </c>
    </row>
    <row r="372" spans="1:37" ht="12.75">
      <c r="A372" s="4"/>
      <c r="B372" s="14" t="s">
        <v>589</v>
      </c>
      <c r="C372" s="14" t="s">
        <v>102</v>
      </c>
      <c r="D372" s="104" t="s">
        <v>1254</v>
      </c>
      <c r="E372" s="105"/>
      <c r="F372" s="105"/>
      <c r="G372" s="105"/>
      <c r="H372" s="42">
        <f>SUM(H373:H388)</f>
        <v>0</v>
      </c>
      <c r="I372" s="42">
        <f>SUM(I373:I388)</f>
        <v>0</v>
      </c>
      <c r="J372" s="42">
        <f>H372+I372</f>
        <v>0</v>
      </c>
      <c r="K372" s="31"/>
      <c r="L372" s="42">
        <f>SUM(L373:L388)</f>
        <v>6.561824600000001</v>
      </c>
      <c r="M372" s="31"/>
      <c r="P372" s="42">
        <f>IF(Q372="PR",J372,SUM(O373:O388))</f>
        <v>0</v>
      </c>
      <c r="Q372" s="31" t="s">
        <v>1529</v>
      </c>
      <c r="R372" s="42">
        <f>IF(Q372="HS",H372,0)</f>
        <v>0</v>
      </c>
      <c r="S372" s="42">
        <f>IF(Q372="HS",I372-P372,0)</f>
        <v>0</v>
      </c>
      <c r="T372" s="42">
        <f>IF(Q372="PS",H372,0)</f>
        <v>0</v>
      </c>
      <c r="U372" s="42">
        <f>IF(Q372="PS",I372-P372,0)</f>
        <v>0</v>
      </c>
      <c r="V372" s="42">
        <f>IF(Q372="MP",H372,0)</f>
        <v>0</v>
      </c>
      <c r="W372" s="42">
        <f>IF(Q372="MP",I372-P372,0)</f>
        <v>0</v>
      </c>
      <c r="X372" s="42">
        <f>IF(Q372="OM",H372,0)</f>
        <v>0</v>
      </c>
      <c r="Y372" s="31" t="s">
        <v>589</v>
      </c>
      <c r="AI372" s="42">
        <f>SUM(Z373:Z388)</f>
        <v>0</v>
      </c>
      <c r="AJ372" s="42">
        <f>SUM(AA373:AA388)</f>
        <v>0</v>
      </c>
      <c r="AK372" s="42">
        <f>SUM(AB373:AB388)</f>
        <v>0</v>
      </c>
    </row>
    <row r="373" spans="1:43" ht="12.75">
      <c r="A373" s="5" t="s">
        <v>214</v>
      </c>
      <c r="B373" s="5" t="s">
        <v>589</v>
      </c>
      <c r="C373" s="5" t="s">
        <v>801</v>
      </c>
      <c r="D373" s="5" t="s">
        <v>1255</v>
      </c>
      <c r="E373" s="5" t="s">
        <v>1494</v>
      </c>
      <c r="F373" s="22">
        <v>24</v>
      </c>
      <c r="G373" s="22">
        <v>0</v>
      </c>
      <c r="H373" s="22">
        <f>F373*AE373</f>
        <v>0</v>
      </c>
      <c r="I373" s="22">
        <f>J373-H373</f>
        <v>0</v>
      </c>
      <c r="J373" s="22">
        <f>F373*G373</f>
        <v>0</v>
      </c>
      <c r="K373" s="22">
        <v>0</v>
      </c>
      <c r="L373" s="22">
        <f>F373*K373</f>
        <v>0</v>
      </c>
      <c r="M373" s="35" t="s">
        <v>1523</v>
      </c>
      <c r="N373" s="35" t="s">
        <v>7</v>
      </c>
      <c r="O373" s="22">
        <f>IF(N373="5",I373,0)</f>
        <v>0</v>
      </c>
      <c r="Z373" s="22">
        <f>IF(AD373=0,J373,0)</f>
        <v>0</v>
      </c>
      <c r="AA373" s="22">
        <f>IF(AD373=15,J373,0)</f>
        <v>0</v>
      </c>
      <c r="AB373" s="22">
        <f>IF(AD373=21,J373,0)</f>
        <v>0</v>
      </c>
      <c r="AD373" s="39">
        <v>15</v>
      </c>
      <c r="AE373" s="39">
        <f>G373*0</f>
        <v>0</v>
      </c>
      <c r="AF373" s="39">
        <f>G373*(1-0)</f>
        <v>0</v>
      </c>
      <c r="AM373" s="39">
        <f>F373*AE373</f>
        <v>0</v>
      </c>
      <c r="AN373" s="39">
        <f>F373*AF373</f>
        <v>0</v>
      </c>
      <c r="AO373" s="40" t="s">
        <v>1573</v>
      </c>
      <c r="AP373" s="40" t="s">
        <v>1602</v>
      </c>
      <c r="AQ373" s="31" t="s">
        <v>1608</v>
      </c>
    </row>
    <row r="374" spans="1:43" ht="12.75">
      <c r="A374" s="5" t="s">
        <v>215</v>
      </c>
      <c r="B374" s="5" t="s">
        <v>589</v>
      </c>
      <c r="C374" s="5" t="s">
        <v>802</v>
      </c>
      <c r="D374" s="5" t="s">
        <v>1256</v>
      </c>
      <c r="E374" s="5" t="s">
        <v>1493</v>
      </c>
      <c r="F374" s="22">
        <v>8.28</v>
      </c>
      <c r="G374" s="22">
        <v>0</v>
      </c>
      <c r="H374" s="22">
        <f>F374*AE374</f>
        <v>0</v>
      </c>
      <c r="I374" s="22">
        <f>J374-H374</f>
        <v>0</v>
      </c>
      <c r="J374" s="22">
        <f>F374*G374</f>
        <v>0</v>
      </c>
      <c r="K374" s="22">
        <v>0.11367</v>
      </c>
      <c r="L374" s="22">
        <f>F374*K374</f>
        <v>0.9411875999999999</v>
      </c>
      <c r="M374" s="35" t="s">
        <v>1523</v>
      </c>
      <c r="N374" s="35" t="s">
        <v>9</v>
      </c>
      <c r="O374" s="22">
        <f>IF(N374="5",I374,0)</f>
        <v>0</v>
      </c>
      <c r="Z374" s="22">
        <f>IF(AD374=0,J374,0)</f>
        <v>0</v>
      </c>
      <c r="AA374" s="22">
        <f>IF(AD374=15,J374,0)</f>
        <v>0</v>
      </c>
      <c r="AB374" s="22">
        <f>IF(AD374=21,J374,0)</f>
        <v>0</v>
      </c>
      <c r="AD374" s="39">
        <v>15</v>
      </c>
      <c r="AE374" s="39">
        <f>G374*0.087032967032967</f>
        <v>0</v>
      </c>
      <c r="AF374" s="39">
        <f>G374*(1-0.087032967032967)</f>
        <v>0</v>
      </c>
      <c r="AM374" s="39">
        <f>F374*AE374</f>
        <v>0</v>
      </c>
      <c r="AN374" s="39">
        <f>F374*AF374</f>
        <v>0</v>
      </c>
      <c r="AO374" s="40" t="s">
        <v>1573</v>
      </c>
      <c r="AP374" s="40" t="s">
        <v>1602</v>
      </c>
      <c r="AQ374" s="31" t="s">
        <v>1608</v>
      </c>
    </row>
    <row r="375" ht="12.75">
      <c r="D375" s="18" t="s">
        <v>1257</v>
      </c>
    </row>
    <row r="376" spans="4:6" ht="10.5" customHeight="1">
      <c r="D376" s="17" t="s">
        <v>1258</v>
      </c>
      <c r="F376" s="23">
        <v>9.36</v>
      </c>
    </row>
    <row r="377" spans="4:6" ht="10.5" customHeight="1">
      <c r="D377" s="17" t="s">
        <v>1259</v>
      </c>
      <c r="F377" s="23">
        <v>-1.08</v>
      </c>
    </row>
    <row r="378" spans="1:43" ht="12.75">
      <c r="A378" s="5" t="s">
        <v>216</v>
      </c>
      <c r="B378" s="5" t="s">
        <v>589</v>
      </c>
      <c r="C378" s="5" t="s">
        <v>803</v>
      </c>
      <c r="D378" s="5" t="s">
        <v>1260</v>
      </c>
      <c r="E378" s="5" t="s">
        <v>1493</v>
      </c>
      <c r="F378" s="22">
        <v>28.7</v>
      </c>
      <c r="G378" s="22">
        <v>0</v>
      </c>
      <c r="H378" s="22">
        <f>F378*AE378</f>
        <v>0</v>
      </c>
      <c r="I378" s="22">
        <f>J378-H378</f>
        <v>0</v>
      </c>
      <c r="J378" s="22">
        <f>F378*G378</f>
        <v>0</v>
      </c>
      <c r="K378" s="22">
        <v>0.07717</v>
      </c>
      <c r="L378" s="22">
        <f>F378*K378</f>
        <v>2.214779</v>
      </c>
      <c r="M378" s="35" t="s">
        <v>1523</v>
      </c>
      <c r="N378" s="35" t="s">
        <v>7</v>
      </c>
      <c r="O378" s="22">
        <f>IF(N378="5",I378,0)</f>
        <v>0</v>
      </c>
      <c r="Z378" s="22">
        <f>IF(AD378=0,J378,0)</f>
        <v>0</v>
      </c>
      <c r="AA378" s="22">
        <f>IF(AD378=15,J378,0)</f>
        <v>0</v>
      </c>
      <c r="AB378" s="22">
        <f>IF(AD378=21,J378,0)</f>
        <v>0</v>
      </c>
      <c r="AD378" s="39">
        <v>15</v>
      </c>
      <c r="AE378" s="39">
        <f>G378*0.105094339622642</f>
        <v>0</v>
      </c>
      <c r="AF378" s="39">
        <f>G378*(1-0.105094339622642)</f>
        <v>0</v>
      </c>
      <c r="AM378" s="39">
        <f>F378*AE378</f>
        <v>0</v>
      </c>
      <c r="AN378" s="39">
        <f>F378*AF378</f>
        <v>0</v>
      </c>
      <c r="AO378" s="40" t="s">
        <v>1573</v>
      </c>
      <c r="AP378" s="40" t="s">
        <v>1602</v>
      </c>
      <c r="AQ378" s="31" t="s">
        <v>1608</v>
      </c>
    </row>
    <row r="379" ht="12.75">
      <c r="D379" s="18" t="s">
        <v>1261</v>
      </c>
    </row>
    <row r="380" spans="1:43" ht="12.75">
      <c r="A380" s="5" t="s">
        <v>217</v>
      </c>
      <c r="B380" s="5" t="s">
        <v>589</v>
      </c>
      <c r="C380" s="5" t="s">
        <v>804</v>
      </c>
      <c r="D380" s="5" t="s">
        <v>1262</v>
      </c>
      <c r="E380" s="5" t="s">
        <v>1495</v>
      </c>
      <c r="F380" s="22">
        <v>30</v>
      </c>
      <c r="G380" s="22">
        <v>0</v>
      </c>
      <c r="H380" s="22">
        <f>F380*AE380</f>
        <v>0</v>
      </c>
      <c r="I380" s="22">
        <f>J380-H380</f>
        <v>0</v>
      </c>
      <c r="J380" s="22">
        <f>F380*G380</f>
        <v>0</v>
      </c>
      <c r="K380" s="22">
        <v>0.03738</v>
      </c>
      <c r="L380" s="22">
        <f>F380*K380</f>
        <v>1.1214</v>
      </c>
      <c r="M380" s="35" t="s">
        <v>1523</v>
      </c>
      <c r="N380" s="35" t="s">
        <v>7</v>
      </c>
      <c r="O380" s="22">
        <f>IF(N380="5",I380,0)</f>
        <v>0</v>
      </c>
      <c r="Z380" s="22">
        <f>IF(AD380=0,J380,0)</f>
        <v>0</v>
      </c>
      <c r="AA380" s="22">
        <f>IF(AD380=15,J380,0)</f>
        <v>0</v>
      </c>
      <c r="AB380" s="22">
        <f>IF(AD380=21,J380,0)</f>
        <v>0</v>
      </c>
      <c r="AD380" s="39">
        <v>15</v>
      </c>
      <c r="AE380" s="39">
        <f>G380*0.226237623762376</f>
        <v>0</v>
      </c>
      <c r="AF380" s="39">
        <f>G380*(1-0.226237623762376)</f>
        <v>0</v>
      </c>
      <c r="AM380" s="39">
        <f>F380*AE380</f>
        <v>0</v>
      </c>
      <c r="AN380" s="39">
        <f>F380*AF380</f>
        <v>0</v>
      </c>
      <c r="AO380" s="40" t="s">
        <v>1573</v>
      </c>
      <c r="AP380" s="40" t="s">
        <v>1602</v>
      </c>
      <c r="AQ380" s="31" t="s">
        <v>1608</v>
      </c>
    </row>
    <row r="381" spans="1:43" ht="12.75">
      <c r="A381" s="5" t="s">
        <v>218</v>
      </c>
      <c r="B381" s="5" t="s">
        <v>589</v>
      </c>
      <c r="C381" s="5" t="s">
        <v>805</v>
      </c>
      <c r="D381" s="5" t="s">
        <v>1263</v>
      </c>
      <c r="E381" s="5" t="s">
        <v>1495</v>
      </c>
      <c r="F381" s="22">
        <v>18</v>
      </c>
      <c r="G381" s="22">
        <v>0</v>
      </c>
      <c r="H381" s="22">
        <f>F381*AE381</f>
        <v>0</v>
      </c>
      <c r="I381" s="22">
        <f>J381-H381</f>
        <v>0</v>
      </c>
      <c r="J381" s="22">
        <f>F381*G381</f>
        <v>0</v>
      </c>
      <c r="K381" s="22">
        <v>0.03759</v>
      </c>
      <c r="L381" s="22">
        <f>F381*K381</f>
        <v>0.67662</v>
      </c>
      <c r="M381" s="35" t="s">
        <v>1523</v>
      </c>
      <c r="N381" s="35" t="s">
        <v>7</v>
      </c>
      <c r="O381" s="22">
        <f>IF(N381="5",I381,0)</f>
        <v>0</v>
      </c>
      <c r="Z381" s="22">
        <f>IF(AD381=0,J381,0)</f>
        <v>0</v>
      </c>
      <c r="AA381" s="22">
        <f>IF(AD381=15,J381,0)</f>
        <v>0</v>
      </c>
      <c r="AB381" s="22">
        <f>IF(AD381=21,J381,0)</f>
        <v>0</v>
      </c>
      <c r="AD381" s="39">
        <v>15</v>
      </c>
      <c r="AE381" s="39">
        <f>G381*0.110555555555556</f>
        <v>0</v>
      </c>
      <c r="AF381" s="39">
        <f>G381*(1-0.110555555555556)</f>
        <v>0</v>
      </c>
      <c r="AM381" s="39">
        <f>F381*AE381</f>
        <v>0</v>
      </c>
      <c r="AN381" s="39">
        <f>F381*AF381</f>
        <v>0</v>
      </c>
      <c r="AO381" s="40" t="s">
        <v>1573</v>
      </c>
      <c r="AP381" s="40" t="s">
        <v>1602</v>
      </c>
      <c r="AQ381" s="31" t="s">
        <v>1608</v>
      </c>
    </row>
    <row r="382" spans="1:43" ht="12.75">
      <c r="A382" s="5" t="s">
        <v>219</v>
      </c>
      <c r="B382" s="5" t="s">
        <v>589</v>
      </c>
      <c r="C382" s="5" t="s">
        <v>806</v>
      </c>
      <c r="D382" s="5" t="s">
        <v>1264</v>
      </c>
      <c r="E382" s="5" t="s">
        <v>1493</v>
      </c>
      <c r="F382" s="22">
        <v>11.07</v>
      </c>
      <c r="G382" s="22">
        <v>0</v>
      </c>
      <c r="H382" s="22">
        <f>F382*AE382</f>
        <v>0</v>
      </c>
      <c r="I382" s="22">
        <f>J382-H382</f>
        <v>0</v>
      </c>
      <c r="J382" s="22">
        <f>F382*G382</f>
        <v>0</v>
      </c>
      <c r="K382" s="22">
        <v>0.065</v>
      </c>
      <c r="L382" s="22">
        <f>F382*K382</f>
        <v>0.71955</v>
      </c>
      <c r="M382" s="35" t="s">
        <v>1523</v>
      </c>
      <c r="N382" s="35" t="s">
        <v>9</v>
      </c>
      <c r="O382" s="22">
        <f>IF(N382="5",I382,0)</f>
        <v>0</v>
      </c>
      <c r="Z382" s="22">
        <f>IF(AD382=0,J382,0)</f>
        <v>0</v>
      </c>
      <c r="AA382" s="22">
        <f>IF(AD382=15,J382,0)</f>
        <v>0</v>
      </c>
      <c r="AB382" s="22">
        <f>IF(AD382=21,J382,0)</f>
        <v>0</v>
      </c>
      <c r="AD382" s="39">
        <v>15</v>
      </c>
      <c r="AE382" s="39">
        <f>G382*0</f>
        <v>0</v>
      </c>
      <c r="AF382" s="39">
        <f>G382*(1-0)</f>
        <v>0</v>
      </c>
      <c r="AM382" s="39">
        <f>F382*AE382</f>
        <v>0</v>
      </c>
      <c r="AN382" s="39">
        <f>F382*AF382</f>
        <v>0</v>
      </c>
      <c r="AO382" s="40" t="s">
        <v>1573</v>
      </c>
      <c r="AP382" s="40" t="s">
        <v>1602</v>
      </c>
      <c r="AQ382" s="31" t="s">
        <v>1608</v>
      </c>
    </row>
    <row r="383" spans="4:6" ht="10.5" customHeight="1">
      <c r="D383" s="17" t="s">
        <v>1265</v>
      </c>
      <c r="F383" s="23">
        <v>7.29</v>
      </c>
    </row>
    <row r="384" spans="4:6" ht="10.5" customHeight="1">
      <c r="D384" s="17" t="s">
        <v>1266</v>
      </c>
      <c r="F384" s="23">
        <v>3.78</v>
      </c>
    </row>
    <row r="385" spans="1:43" ht="12.75">
      <c r="A385" s="5" t="s">
        <v>220</v>
      </c>
      <c r="B385" s="5" t="s">
        <v>589</v>
      </c>
      <c r="C385" s="5" t="s">
        <v>807</v>
      </c>
      <c r="D385" s="5" t="s">
        <v>1267</v>
      </c>
      <c r="E385" s="5" t="s">
        <v>1494</v>
      </c>
      <c r="F385" s="22">
        <v>3</v>
      </c>
      <c r="G385" s="22">
        <v>0</v>
      </c>
      <c r="H385" s="22">
        <f>F385*AE385</f>
        <v>0</v>
      </c>
      <c r="I385" s="22">
        <f>J385-H385</f>
        <v>0</v>
      </c>
      <c r="J385" s="22">
        <f>F385*G385</f>
        <v>0</v>
      </c>
      <c r="K385" s="22">
        <v>0.01549</v>
      </c>
      <c r="L385" s="22">
        <f>F385*K385</f>
        <v>0.04647</v>
      </c>
      <c r="M385" s="35" t="s">
        <v>1523</v>
      </c>
      <c r="N385" s="35" t="s">
        <v>7</v>
      </c>
      <c r="O385" s="22">
        <f>IF(N385="5",I385,0)</f>
        <v>0</v>
      </c>
      <c r="Z385" s="22">
        <f>IF(AD385=0,J385,0)</f>
        <v>0</v>
      </c>
      <c r="AA385" s="22">
        <f>IF(AD385=15,J385,0)</f>
        <v>0</v>
      </c>
      <c r="AB385" s="22">
        <f>IF(AD385=21,J385,0)</f>
        <v>0</v>
      </c>
      <c r="AD385" s="39">
        <v>15</v>
      </c>
      <c r="AE385" s="39">
        <f>G385*0</f>
        <v>0</v>
      </c>
      <c r="AF385" s="39">
        <f>G385*(1-0)</f>
        <v>0</v>
      </c>
      <c r="AM385" s="39">
        <f>F385*AE385</f>
        <v>0</v>
      </c>
      <c r="AN385" s="39">
        <f>F385*AF385</f>
        <v>0</v>
      </c>
      <c r="AO385" s="40" t="s">
        <v>1573</v>
      </c>
      <c r="AP385" s="40" t="s">
        <v>1602</v>
      </c>
      <c r="AQ385" s="31" t="s">
        <v>1608</v>
      </c>
    </row>
    <row r="386" spans="1:43" ht="12.75">
      <c r="A386" s="5" t="s">
        <v>221</v>
      </c>
      <c r="B386" s="5" t="s">
        <v>589</v>
      </c>
      <c r="C386" s="5" t="s">
        <v>803</v>
      </c>
      <c r="D386" s="5" t="s">
        <v>1260</v>
      </c>
      <c r="E386" s="5" t="s">
        <v>1493</v>
      </c>
      <c r="F386" s="22">
        <v>5.4</v>
      </c>
      <c r="G386" s="22">
        <v>0</v>
      </c>
      <c r="H386" s="22">
        <f>F386*AE386</f>
        <v>0</v>
      </c>
      <c r="I386" s="22">
        <f>J386-H386</f>
        <v>0</v>
      </c>
      <c r="J386" s="22">
        <f>F386*G386</f>
        <v>0</v>
      </c>
      <c r="K386" s="22">
        <v>0.07717</v>
      </c>
      <c r="L386" s="22">
        <f>F386*K386</f>
        <v>0.41671800000000003</v>
      </c>
      <c r="M386" s="35" t="s">
        <v>1523</v>
      </c>
      <c r="N386" s="35" t="s">
        <v>7</v>
      </c>
      <c r="O386" s="22">
        <f>IF(N386="5",I386,0)</f>
        <v>0</v>
      </c>
      <c r="Z386" s="22">
        <f>IF(AD386=0,J386,0)</f>
        <v>0</v>
      </c>
      <c r="AA386" s="22">
        <f>IF(AD386=15,J386,0)</f>
        <v>0</v>
      </c>
      <c r="AB386" s="22">
        <f>IF(AD386=21,J386,0)</f>
        <v>0</v>
      </c>
      <c r="AD386" s="39">
        <v>15</v>
      </c>
      <c r="AE386" s="39">
        <f>G386*0.105094339622642</f>
        <v>0</v>
      </c>
      <c r="AF386" s="39">
        <f>G386*(1-0.105094339622642)</f>
        <v>0</v>
      </c>
      <c r="AM386" s="39">
        <f>F386*AE386</f>
        <v>0</v>
      </c>
      <c r="AN386" s="39">
        <f>F386*AF386</f>
        <v>0</v>
      </c>
      <c r="AO386" s="40" t="s">
        <v>1573</v>
      </c>
      <c r="AP386" s="40" t="s">
        <v>1602</v>
      </c>
      <c r="AQ386" s="31" t="s">
        <v>1608</v>
      </c>
    </row>
    <row r="387" ht="12.75">
      <c r="D387" s="18" t="s">
        <v>1268</v>
      </c>
    </row>
    <row r="388" spans="1:43" ht="12.75">
      <c r="A388" s="5" t="s">
        <v>222</v>
      </c>
      <c r="B388" s="5" t="s">
        <v>589</v>
      </c>
      <c r="C388" s="5" t="s">
        <v>806</v>
      </c>
      <c r="D388" s="5" t="s">
        <v>1264</v>
      </c>
      <c r="E388" s="5" t="s">
        <v>1493</v>
      </c>
      <c r="F388" s="22">
        <v>6.54</v>
      </c>
      <c r="G388" s="22">
        <v>0</v>
      </c>
      <c r="H388" s="22">
        <f>F388*AE388</f>
        <v>0</v>
      </c>
      <c r="I388" s="22">
        <f>J388-H388</f>
        <v>0</v>
      </c>
      <c r="J388" s="22">
        <f>F388*G388</f>
        <v>0</v>
      </c>
      <c r="K388" s="22">
        <v>0.065</v>
      </c>
      <c r="L388" s="22">
        <f>F388*K388</f>
        <v>0.42510000000000003</v>
      </c>
      <c r="M388" s="35" t="s">
        <v>1523</v>
      </c>
      <c r="N388" s="35" t="s">
        <v>9</v>
      </c>
      <c r="O388" s="22">
        <f>IF(N388="5",I388,0)</f>
        <v>0</v>
      </c>
      <c r="Z388" s="22">
        <f>IF(AD388=0,J388,0)</f>
        <v>0</v>
      </c>
      <c r="AA388" s="22">
        <f>IF(AD388=15,J388,0)</f>
        <v>0</v>
      </c>
      <c r="AB388" s="22">
        <f>IF(AD388=21,J388,0)</f>
        <v>0</v>
      </c>
      <c r="AD388" s="39">
        <v>15</v>
      </c>
      <c r="AE388" s="39">
        <f>G388*0</f>
        <v>0</v>
      </c>
      <c r="AF388" s="39">
        <f>G388*(1-0)</f>
        <v>0</v>
      </c>
      <c r="AM388" s="39">
        <f>F388*AE388</f>
        <v>0</v>
      </c>
      <c r="AN388" s="39">
        <f>F388*AF388</f>
        <v>0</v>
      </c>
      <c r="AO388" s="40" t="s">
        <v>1573</v>
      </c>
      <c r="AP388" s="40" t="s">
        <v>1602</v>
      </c>
      <c r="AQ388" s="31" t="s">
        <v>1608</v>
      </c>
    </row>
    <row r="389" ht="12.75">
      <c r="D389" s="18" t="s">
        <v>1096</v>
      </c>
    </row>
    <row r="390" spans="1:37" ht="12.75">
      <c r="A390" s="4"/>
      <c r="B390" s="14" t="s">
        <v>589</v>
      </c>
      <c r="C390" s="14" t="s">
        <v>103</v>
      </c>
      <c r="D390" s="104" t="s">
        <v>1269</v>
      </c>
      <c r="E390" s="105"/>
      <c r="F390" s="105"/>
      <c r="G390" s="105"/>
      <c r="H390" s="42">
        <f>SUM(H391:H392)</f>
        <v>0</v>
      </c>
      <c r="I390" s="42">
        <f>SUM(I391:I392)</f>
        <v>0</v>
      </c>
      <c r="J390" s="42">
        <f>H390+I390</f>
        <v>0</v>
      </c>
      <c r="K390" s="31"/>
      <c r="L390" s="42">
        <f>SUM(L391:L392)</f>
        <v>0.38546</v>
      </c>
      <c r="M390" s="31"/>
      <c r="P390" s="42">
        <f>IF(Q390="PR",J390,SUM(O391:O392))</f>
        <v>0</v>
      </c>
      <c r="Q390" s="31" t="s">
        <v>1529</v>
      </c>
      <c r="R390" s="42">
        <f>IF(Q390="HS",H390,0)</f>
        <v>0</v>
      </c>
      <c r="S390" s="42">
        <f>IF(Q390="HS",I390-P390,0)</f>
        <v>0</v>
      </c>
      <c r="T390" s="42">
        <f>IF(Q390="PS",H390,0)</f>
        <v>0</v>
      </c>
      <c r="U390" s="42">
        <f>IF(Q390="PS",I390-P390,0)</f>
        <v>0</v>
      </c>
      <c r="V390" s="42">
        <f>IF(Q390="MP",H390,0)</f>
        <v>0</v>
      </c>
      <c r="W390" s="42">
        <f>IF(Q390="MP",I390-P390,0)</f>
        <v>0</v>
      </c>
      <c r="X390" s="42">
        <f>IF(Q390="OM",H390,0)</f>
        <v>0</v>
      </c>
      <c r="Y390" s="31" t="s">
        <v>589</v>
      </c>
      <c r="AI390" s="42">
        <f>SUM(Z391:Z392)</f>
        <v>0</v>
      </c>
      <c r="AJ390" s="42">
        <f>SUM(AA391:AA392)</f>
        <v>0</v>
      </c>
      <c r="AK390" s="42">
        <f>SUM(AB391:AB392)</f>
        <v>0</v>
      </c>
    </row>
    <row r="391" spans="1:43" ht="12.75">
      <c r="A391" s="5" t="s">
        <v>223</v>
      </c>
      <c r="B391" s="5" t="s">
        <v>589</v>
      </c>
      <c r="C391" s="5" t="s">
        <v>808</v>
      </c>
      <c r="D391" s="5" t="s">
        <v>1270</v>
      </c>
      <c r="E391" s="5" t="s">
        <v>1495</v>
      </c>
      <c r="F391" s="22">
        <v>150</v>
      </c>
      <c r="G391" s="22">
        <v>0</v>
      </c>
      <c r="H391" s="22">
        <f>F391*AE391</f>
        <v>0</v>
      </c>
      <c r="I391" s="22">
        <f>J391-H391</f>
        <v>0</v>
      </c>
      <c r="J391" s="22">
        <f>F391*G391</f>
        <v>0</v>
      </c>
      <c r="K391" s="22">
        <v>0.00249</v>
      </c>
      <c r="L391" s="22">
        <f>F391*K391</f>
        <v>0.3735</v>
      </c>
      <c r="M391" s="35" t="s">
        <v>1523</v>
      </c>
      <c r="N391" s="35" t="s">
        <v>7</v>
      </c>
      <c r="O391" s="22">
        <f>IF(N391="5",I391,0)</f>
        <v>0</v>
      </c>
      <c r="Z391" s="22">
        <f>IF(AD391=0,J391,0)</f>
        <v>0</v>
      </c>
      <c r="AA391" s="22">
        <f>IF(AD391=15,J391,0)</f>
        <v>0</v>
      </c>
      <c r="AB391" s="22">
        <f>IF(AD391=21,J391,0)</f>
        <v>0</v>
      </c>
      <c r="AD391" s="39">
        <v>15</v>
      </c>
      <c r="AE391" s="39">
        <f>G391*0.110889963036679</f>
        <v>0</v>
      </c>
      <c r="AF391" s="39">
        <f>G391*(1-0.110889963036679)</f>
        <v>0</v>
      </c>
      <c r="AM391" s="39">
        <f>F391*AE391</f>
        <v>0</v>
      </c>
      <c r="AN391" s="39">
        <f>F391*AF391</f>
        <v>0</v>
      </c>
      <c r="AO391" s="40" t="s">
        <v>1574</v>
      </c>
      <c r="AP391" s="40" t="s">
        <v>1602</v>
      </c>
      <c r="AQ391" s="31" t="s">
        <v>1608</v>
      </c>
    </row>
    <row r="392" spans="1:43" ht="12.75">
      <c r="A392" s="5" t="s">
        <v>224</v>
      </c>
      <c r="B392" s="5" t="s">
        <v>589</v>
      </c>
      <c r="C392" s="5" t="s">
        <v>809</v>
      </c>
      <c r="D392" s="5" t="s">
        <v>1271</v>
      </c>
      <c r="E392" s="5" t="s">
        <v>1495</v>
      </c>
      <c r="F392" s="22">
        <v>26</v>
      </c>
      <c r="G392" s="22">
        <v>0</v>
      </c>
      <c r="H392" s="22">
        <f>F392*AE392</f>
        <v>0</v>
      </c>
      <c r="I392" s="22">
        <f>J392-H392</f>
        <v>0</v>
      </c>
      <c r="J392" s="22">
        <f>F392*G392</f>
        <v>0</v>
      </c>
      <c r="K392" s="22">
        <v>0.00046</v>
      </c>
      <c r="L392" s="22">
        <f>F392*K392</f>
        <v>0.01196</v>
      </c>
      <c r="M392" s="35" t="s">
        <v>1523</v>
      </c>
      <c r="N392" s="35" t="s">
        <v>7</v>
      </c>
      <c r="O392" s="22">
        <f>IF(N392="5",I392,0)</f>
        <v>0</v>
      </c>
      <c r="Z392" s="22">
        <f>IF(AD392=0,J392,0)</f>
        <v>0</v>
      </c>
      <c r="AA392" s="22">
        <f>IF(AD392=15,J392,0)</f>
        <v>0</v>
      </c>
      <c r="AB392" s="22">
        <f>IF(AD392=21,J392,0)</f>
        <v>0</v>
      </c>
      <c r="AD392" s="39">
        <v>15</v>
      </c>
      <c r="AE392" s="39">
        <f>G392*0.19059453259415</f>
        <v>0</v>
      </c>
      <c r="AF392" s="39">
        <f>G392*(1-0.19059453259415)</f>
        <v>0</v>
      </c>
      <c r="AM392" s="39">
        <f>F392*AE392</f>
        <v>0</v>
      </c>
      <c r="AN392" s="39">
        <f>F392*AF392</f>
        <v>0</v>
      </c>
      <c r="AO392" s="40" t="s">
        <v>1574</v>
      </c>
      <c r="AP392" s="40" t="s">
        <v>1602</v>
      </c>
      <c r="AQ392" s="31" t="s">
        <v>1608</v>
      </c>
    </row>
    <row r="393" ht="12.75">
      <c r="D393" s="18" t="s">
        <v>1272</v>
      </c>
    </row>
    <row r="394" spans="1:37" ht="12.75">
      <c r="A394" s="4"/>
      <c r="B394" s="14" t="s">
        <v>589</v>
      </c>
      <c r="C394" s="14" t="s">
        <v>647</v>
      </c>
      <c r="D394" s="104" t="s">
        <v>1029</v>
      </c>
      <c r="E394" s="105"/>
      <c r="F394" s="105"/>
      <c r="G394" s="105"/>
      <c r="H394" s="42">
        <f>SUM(H395:H395)</f>
        <v>0</v>
      </c>
      <c r="I394" s="42">
        <f>SUM(I395:I395)</f>
        <v>0</v>
      </c>
      <c r="J394" s="42">
        <f>H394+I394</f>
        <v>0</v>
      </c>
      <c r="K394" s="31"/>
      <c r="L394" s="42">
        <f>SUM(L395:L395)</f>
        <v>0</v>
      </c>
      <c r="M394" s="31"/>
      <c r="P394" s="42">
        <f>IF(Q394="PR",J394,SUM(O395:O395))</f>
        <v>0</v>
      </c>
      <c r="Q394" s="31" t="s">
        <v>1529</v>
      </c>
      <c r="R394" s="42">
        <f>IF(Q394="HS",H394,0)</f>
        <v>0</v>
      </c>
      <c r="S394" s="42">
        <f>IF(Q394="HS",I394-P394,0)</f>
        <v>0</v>
      </c>
      <c r="T394" s="42">
        <f>IF(Q394="PS",H394,0)</f>
        <v>0</v>
      </c>
      <c r="U394" s="42">
        <f>IF(Q394="PS",I394-P394,0)</f>
        <v>0</v>
      </c>
      <c r="V394" s="42">
        <f>IF(Q394="MP",H394,0)</f>
        <v>0</v>
      </c>
      <c r="W394" s="42">
        <f>IF(Q394="MP",I394-P394,0)</f>
        <v>0</v>
      </c>
      <c r="X394" s="42">
        <f>IF(Q394="OM",H394,0)</f>
        <v>0</v>
      </c>
      <c r="Y394" s="31" t="s">
        <v>589</v>
      </c>
      <c r="AI394" s="42">
        <f>SUM(Z395:Z395)</f>
        <v>0</v>
      </c>
      <c r="AJ394" s="42">
        <f>SUM(AA395:AA395)</f>
        <v>0</v>
      </c>
      <c r="AK394" s="42">
        <f>SUM(AB395:AB395)</f>
        <v>0</v>
      </c>
    </row>
    <row r="395" spans="1:43" ht="12.75">
      <c r="A395" s="5" t="s">
        <v>225</v>
      </c>
      <c r="B395" s="5" t="s">
        <v>589</v>
      </c>
      <c r="C395" s="5" t="s">
        <v>810</v>
      </c>
      <c r="D395" s="5" t="s">
        <v>1273</v>
      </c>
      <c r="E395" s="5" t="s">
        <v>1498</v>
      </c>
      <c r="F395" s="22">
        <v>15.01</v>
      </c>
      <c r="G395" s="22">
        <v>0</v>
      </c>
      <c r="H395" s="22">
        <f>F395*AE395</f>
        <v>0</v>
      </c>
      <c r="I395" s="22">
        <f>J395-H395</f>
        <v>0</v>
      </c>
      <c r="J395" s="22">
        <f>F395*G395</f>
        <v>0</v>
      </c>
      <c r="K395" s="22">
        <v>0</v>
      </c>
      <c r="L395" s="22">
        <f>F395*K395</f>
        <v>0</v>
      </c>
      <c r="M395" s="35" t="s">
        <v>1523</v>
      </c>
      <c r="N395" s="35" t="s">
        <v>11</v>
      </c>
      <c r="O395" s="22">
        <f>IF(N395="5",I395,0)</f>
        <v>0</v>
      </c>
      <c r="Z395" s="22">
        <f>IF(AD395=0,J395,0)</f>
        <v>0</v>
      </c>
      <c r="AA395" s="22">
        <f>IF(AD395=15,J395,0)</f>
        <v>0</v>
      </c>
      <c r="AB395" s="22">
        <f>IF(AD395=21,J395,0)</f>
        <v>0</v>
      </c>
      <c r="AD395" s="39">
        <v>15</v>
      </c>
      <c r="AE395" s="39">
        <f>G395*0</f>
        <v>0</v>
      </c>
      <c r="AF395" s="39">
        <f>G395*(1-0)</f>
        <v>0</v>
      </c>
      <c r="AM395" s="39">
        <f>F395*AE395</f>
        <v>0</v>
      </c>
      <c r="AN395" s="39">
        <f>F395*AF395</f>
        <v>0</v>
      </c>
      <c r="AO395" s="40" t="s">
        <v>1553</v>
      </c>
      <c r="AP395" s="40" t="s">
        <v>1602</v>
      </c>
      <c r="AQ395" s="31" t="s">
        <v>1608</v>
      </c>
    </row>
    <row r="396" spans="1:37" ht="12.75">
      <c r="A396" s="4"/>
      <c r="B396" s="14" t="s">
        <v>589</v>
      </c>
      <c r="C396" s="14" t="s">
        <v>811</v>
      </c>
      <c r="D396" s="104" t="s">
        <v>1091</v>
      </c>
      <c r="E396" s="105"/>
      <c r="F396" s="105"/>
      <c r="G396" s="105"/>
      <c r="H396" s="42">
        <f>SUM(H397:H397)</f>
        <v>0</v>
      </c>
      <c r="I396" s="42">
        <f>SUM(I397:I397)</f>
        <v>0</v>
      </c>
      <c r="J396" s="42">
        <f>H396+I396</f>
        <v>0</v>
      </c>
      <c r="K396" s="31"/>
      <c r="L396" s="42">
        <f>SUM(L397:L397)</f>
        <v>0</v>
      </c>
      <c r="M396" s="31"/>
      <c r="P396" s="42">
        <f>IF(Q396="PR",J396,SUM(O397:O397))</f>
        <v>0</v>
      </c>
      <c r="Q396" s="31" t="s">
        <v>1529</v>
      </c>
      <c r="R396" s="42">
        <f>IF(Q396="HS",H396,0)</f>
        <v>0</v>
      </c>
      <c r="S396" s="42">
        <f>IF(Q396="HS",I396-P396,0)</f>
        <v>0</v>
      </c>
      <c r="T396" s="42">
        <f>IF(Q396="PS",H396,0)</f>
        <v>0</v>
      </c>
      <c r="U396" s="42">
        <f>IF(Q396="PS",I396-P396,0)</f>
        <v>0</v>
      </c>
      <c r="V396" s="42">
        <f>IF(Q396="MP",H396,0)</f>
        <v>0</v>
      </c>
      <c r="W396" s="42">
        <f>IF(Q396="MP",I396-P396,0)</f>
        <v>0</v>
      </c>
      <c r="X396" s="42">
        <f>IF(Q396="OM",H396,0)</f>
        <v>0</v>
      </c>
      <c r="Y396" s="31" t="s">
        <v>589</v>
      </c>
      <c r="AI396" s="42">
        <f>SUM(Z397:Z397)</f>
        <v>0</v>
      </c>
      <c r="AJ396" s="42">
        <f>SUM(AA397:AA397)</f>
        <v>0</v>
      </c>
      <c r="AK396" s="42">
        <f>SUM(AB397:AB397)</f>
        <v>0</v>
      </c>
    </row>
    <row r="397" spans="1:43" ht="12.75">
      <c r="A397" s="5" t="s">
        <v>226</v>
      </c>
      <c r="B397" s="5" t="s">
        <v>589</v>
      </c>
      <c r="C397" s="5" t="s">
        <v>812</v>
      </c>
      <c r="D397" s="5" t="s">
        <v>1274</v>
      </c>
      <c r="E397" s="5" t="s">
        <v>1499</v>
      </c>
      <c r="F397" s="22">
        <v>1</v>
      </c>
      <c r="G397" s="22">
        <v>0</v>
      </c>
      <c r="H397" s="22">
        <f>F397*AE397</f>
        <v>0</v>
      </c>
      <c r="I397" s="22">
        <f>J397-H397</f>
        <v>0</v>
      </c>
      <c r="J397" s="22">
        <f>F397*G397</f>
        <v>0</v>
      </c>
      <c r="K397" s="22">
        <v>0</v>
      </c>
      <c r="L397" s="22">
        <f>F397*K397</f>
        <v>0</v>
      </c>
      <c r="M397" s="35" t="s">
        <v>1523</v>
      </c>
      <c r="N397" s="35" t="s">
        <v>11</v>
      </c>
      <c r="O397" s="22">
        <f>IF(N397="5",I397,0)</f>
        <v>0</v>
      </c>
      <c r="Z397" s="22">
        <f>IF(AD397=0,J397,0)</f>
        <v>0</v>
      </c>
      <c r="AA397" s="22">
        <f>IF(AD397=15,J397,0)</f>
        <v>0</v>
      </c>
      <c r="AB397" s="22">
        <f>IF(AD397=21,J397,0)</f>
        <v>0</v>
      </c>
      <c r="AD397" s="39">
        <v>15</v>
      </c>
      <c r="AE397" s="39">
        <f>G397*0</f>
        <v>0</v>
      </c>
      <c r="AF397" s="39">
        <f>G397*(1-0)</f>
        <v>0</v>
      </c>
      <c r="AM397" s="39">
        <f>F397*AE397</f>
        <v>0</v>
      </c>
      <c r="AN397" s="39">
        <f>F397*AF397</f>
        <v>0</v>
      </c>
      <c r="AO397" s="40" t="s">
        <v>1575</v>
      </c>
      <c r="AP397" s="40" t="s">
        <v>1602</v>
      </c>
      <c r="AQ397" s="31" t="s">
        <v>1608</v>
      </c>
    </row>
    <row r="398" spans="1:37" ht="12.75">
      <c r="A398" s="4"/>
      <c r="B398" s="14" t="s">
        <v>589</v>
      </c>
      <c r="C398" s="14" t="s">
        <v>813</v>
      </c>
      <c r="D398" s="104" t="s">
        <v>978</v>
      </c>
      <c r="E398" s="105"/>
      <c r="F398" s="105"/>
      <c r="G398" s="105"/>
      <c r="H398" s="42">
        <f>SUM(H399:H399)</f>
        <v>0</v>
      </c>
      <c r="I398" s="42">
        <f>SUM(I399:I399)</f>
        <v>0</v>
      </c>
      <c r="J398" s="42">
        <f>H398+I398</f>
        <v>0</v>
      </c>
      <c r="K398" s="31"/>
      <c r="L398" s="42">
        <f>SUM(L399:L399)</f>
        <v>0</v>
      </c>
      <c r="M398" s="31"/>
      <c r="P398" s="42">
        <f>IF(Q398="PR",J398,SUM(O399:O399))</f>
        <v>0</v>
      </c>
      <c r="Q398" s="31" t="s">
        <v>1529</v>
      </c>
      <c r="R398" s="42">
        <f>IF(Q398="HS",H398,0)</f>
        <v>0</v>
      </c>
      <c r="S398" s="42">
        <f>IF(Q398="HS",I398-P398,0)</f>
        <v>0</v>
      </c>
      <c r="T398" s="42">
        <f>IF(Q398="PS",H398,0)</f>
        <v>0</v>
      </c>
      <c r="U398" s="42">
        <f>IF(Q398="PS",I398-P398,0)</f>
        <v>0</v>
      </c>
      <c r="V398" s="42">
        <f>IF(Q398="MP",H398,0)</f>
        <v>0</v>
      </c>
      <c r="W398" s="42">
        <f>IF(Q398="MP",I398-P398,0)</f>
        <v>0</v>
      </c>
      <c r="X398" s="42">
        <f>IF(Q398="OM",H398,0)</f>
        <v>0</v>
      </c>
      <c r="Y398" s="31" t="s">
        <v>589</v>
      </c>
      <c r="AI398" s="42">
        <f>SUM(Z399:Z399)</f>
        <v>0</v>
      </c>
      <c r="AJ398" s="42">
        <f>SUM(AA399:AA399)</f>
        <v>0</v>
      </c>
      <c r="AK398" s="42">
        <f>SUM(AB399:AB399)</f>
        <v>0</v>
      </c>
    </row>
    <row r="399" spans="1:43" ht="12.75">
      <c r="A399" s="5" t="s">
        <v>227</v>
      </c>
      <c r="B399" s="5" t="s">
        <v>589</v>
      </c>
      <c r="C399" s="5" t="s">
        <v>814</v>
      </c>
      <c r="D399" s="5" t="s">
        <v>1275</v>
      </c>
      <c r="E399" s="5" t="s">
        <v>1499</v>
      </c>
      <c r="F399" s="22">
        <v>1</v>
      </c>
      <c r="G399" s="22">
        <v>0</v>
      </c>
      <c r="H399" s="22">
        <f>F399*AE399</f>
        <v>0</v>
      </c>
      <c r="I399" s="22">
        <f>J399-H399</f>
        <v>0</v>
      </c>
      <c r="J399" s="22">
        <f>F399*G399</f>
        <v>0</v>
      </c>
      <c r="K399" s="22">
        <v>0</v>
      </c>
      <c r="L399" s="22">
        <f>F399*K399</f>
        <v>0</v>
      </c>
      <c r="M399" s="35" t="s">
        <v>1523</v>
      </c>
      <c r="N399" s="35" t="s">
        <v>11</v>
      </c>
      <c r="O399" s="22">
        <f>IF(N399="5",I399,0)</f>
        <v>0</v>
      </c>
      <c r="Z399" s="22">
        <f>IF(AD399=0,J399,0)</f>
        <v>0</v>
      </c>
      <c r="AA399" s="22">
        <f>IF(AD399=15,J399,0)</f>
        <v>0</v>
      </c>
      <c r="AB399" s="22">
        <f>IF(AD399=21,J399,0)</f>
        <v>0</v>
      </c>
      <c r="AD399" s="39">
        <v>15</v>
      </c>
      <c r="AE399" s="39">
        <f>G399*0</f>
        <v>0</v>
      </c>
      <c r="AF399" s="39">
        <f>G399*(1-0)</f>
        <v>0</v>
      </c>
      <c r="AM399" s="39">
        <f>F399*AE399</f>
        <v>0</v>
      </c>
      <c r="AN399" s="39">
        <f>F399*AF399</f>
        <v>0</v>
      </c>
      <c r="AO399" s="40" t="s">
        <v>1576</v>
      </c>
      <c r="AP399" s="40" t="s">
        <v>1602</v>
      </c>
      <c r="AQ399" s="31" t="s">
        <v>1608</v>
      </c>
    </row>
    <row r="400" spans="1:37" ht="12.75">
      <c r="A400" s="4"/>
      <c r="B400" s="14" t="s">
        <v>589</v>
      </c>
      <c r="C400" s="14" t="s">
        <v>815</v>
      </c>
      <c r="D400" s="104" t="s">
        <v>1276</v>
      </c>
      <c r="E400" s="105"/>
      <c r="F400" s="105"/>
      <c r="G400" s="105"/>
      <c r="H400" s="42">
        <f>SUM(H401:H401)</f>
        <v>0</v>
      </c>
      <c r="I400" s="42">
        <f>SUM(I401:I401)</f>
        <v>0</v>
      </c>
      <c r="J400" s="42">
        <f>H400+I400</f>
        <v>0</v>
      </c>
      <c r="K400" s="31"/>
      <c r="L400" s="42">
        <f>SUM(L401:L401)</f>
        <v>0</v>
      </c>
      <c r="M400" s="31"/>
      <c r="P400" s="42">
        <f>IF(Q400="PR",J400,SUM(O401:O401))</f>
        <v>0</v>
      </c>
      <c r="Q400" s="31" t="s">
        <v>1529</v>
      </c>
      <c r="R400" s="42">
        <f>IF(Q400="HS",H400,0)</f>
        <v>0</v>
      </c>
      <c r="S400" s="42">
        <f>IF(Q400="HS",I400-P400,0)</f>
        <v>0</v>
      </c>
      <c r="T400" s="42">
        <f>IF(Q400="PS",H400,0)</f>
        <v>0</v>
      </c>
      <c r="U400" s="42">
        <f>IF(Q400="PS",I400-P400,0)</f>
        <v>0</v>
      </c>
      <c r="V400" s="42">
        <f>IF(Q400="MP",H400,0)</f>
        <v>0</v>
      </c>
      <c r="W400" s="42">
        <f>IF(Q400="MP",I400-P400,0)</f>
        <v>0</v>
      </c>
      <c r="X400" s="42">
        <f>IF(Q400="OM",H400,0)</f>
        <v>0</v>
      </c>
      <c r="Y400" s="31" t="s">
        <v>589</v>
      </c>
      <c r="AI400" s="42">
        <f>SUM(Z401:Z401)</f>
        <v>0</v>
      </c>
      <c r="AJ400" s="42">
        <f>SUM(AA401:AA401)</f>
        <v>0</v>
      </c>
      <c r="AK400" s="42">
        <f>SUM(AB401:AB401)</f>
        <v>0</v>
      </c>
    </row>
    <row r="401" spans="1:43" ht="12.75">
      <c r="A401" s="5" t="s">
        <v>228</v>
      </c>
      <c r="B401" s="5" t="s">
        <v>589</v>
      </c>
      <c r="C401" s="5" t="s">
        <v>816</v>
      </c>
      <c r="D401" s="5" t="s">
        <v>1277</v>
      </c>
      <c r="E401" s="5" t="s">
        <v>1499</v>
      </c>
      <c r="F401" s="22">
        <v>1</v>
      </c>
      <c r="G401" s="22">
        <v>0</v>
      </c>
      <c r="H401" s="22">
        <f>F401*AE401</f>
        <v>0</v>
      </c>
      <c r="I401" s="22">
        <f>J401-H401</f>
        <v>0</v>
      </c>
      <c r="J401" s="22">
        <f>F401*G401</f>
        <v>0</v>
      </c>
      <c r="K401" s="22">
        <v>0</v>
      </c>
      <c r="L401" s="22">
        <f>F401*K401</f>
        <v>0</v>
      </c>
      <c r="M401" s="35" t="s">
        <v>1523</v>
      </c>
      <c r="N401" s="35" t="s">
        <v>11</v>
      </c>
      <c r="O401" s="22">
        <f>IF(N401="5",I401,0)</f>
        <v>0</v>
      </c>
      <c r="Z401" s="22">
        <f>IF(AD401=0,J401,0)</f>
        <v>0</v>
      </c>
      <c r="AA401" s="22">
        <f>IF(AD401=15,J401,0)</f>
        <v>0</v>
      </c>
      <c r="AB401" s="22">
        <f>IF(AD401=21,J401,0)</f>
        <v>0</v>
      </c>
      <c r="AD401" s="39">
        <v>15</v>
      </c>
      <c r="AE401" s="39">
        <f>G401*0</f>
        <v>0</v>
      </c>
      <c r="AF401" s="39">
        <f>G401*(1-0)</f>
        <v>0</v>
      </c>
      <c r="AM401" s="39">
        <f>F401*AE401</f>
        <v>0</v>
      </c>
      <c r="AN401" s="39">
        <f>F401*AF401</f>
        <v>0</v>
      </c>
      <c r="AO401" s="40" t="s">
        <v>1577</v>
      </c>
      <c r="AP401" s="40" t="s">
        <v>1602</v>
      </c>
      <c r="AQ401" s="31" t="s">
        <v>1608</v>
      </c>
    </row>
    <row r="402" spans="1:37" ht="12.75">
      <c r="A402" s="4"/>
      <c r="B402" s="14" t="s">
        <v>589</v>
      </c>
      <c r="C402" s="14" t="s">
        <v>817</v>
      </c>
      <c r="D402" s="104" t="s">
        <v>1103</v>
      </c>
      <c r="E402" s="105"/>
      <c r="F402" s="105"/>
      <c r="G402" s="105"/>
      <c r="H402" s="42">
        <f>SUM(H403:H403)</f>
        <v>0</v>
      </c>
      <c r="I402" s="42">
        <f>SUM(I403:I403)</f>
        <v>0</v>
      </c>
      <c r="J402" s="42">
        <f>H402+I402</f>
        <v>0</v>
      </c>
      <c r="K402" s="31"/>
      <c r="L402" s="42">
        <f>SUM(L403:L403)</f>
        <v>0</v>
      </c>
      <c r="M402" s="31"/>
      <c r="P402" s="42">
        <f>IF(Q402="PR",J402,SUM(O403:O403))</f>
        <v>0</v>
      </c>
      <c r="Q402" s="31" t="s">
        <v>1529</v>
      </c>
      <c r="R402" s="42">
        <f>IF(Q402="HS",H402,0)</f>
        <v>0</v>
      </c>
      <c r="S402" s="42">
        <f>IF(Q402="HS",I402-P402,0)</f>
        <v>0</v>
      </c>
      <c r="T402" s="42">
        <f>IF(Q402="PS",H402,0)</f>
        <v>0</v>
      </c>
      <c r="U402" s="42">
        <f>IF(Q402="PS",I402-P402,0)</f>
        <v>0</v>
      </c>
      <c r="V402" s="42">
        <f>IF(Q402="MP",H402,0)</f>
        <v>0</v>
      </c>
      <c r="W402" s="42">
        <f>IF(Q402="MP",I402-P402,0)</f>
        <v>0</v>
      </c>
      <c r="X402" s="42">
        <f>IF(Q402="OM",H402,0)</f>
        <v>0</v>
      </c>
      <c r="Y402" s="31" t="s">
        <v>589</v>
      </c>
      <c r="AI402" s="42">
        <f>SUM(Z403:Z403)</f>
        <v>0</v>
      </c>
      <c r="AJ402" s="42">
        <f>SUM(AA403:AA403)</f>
        <v>0</v>
      </c>
      <c r="AK402" s="42">
        <f>SUM(AB403:AB403)</f>
        <v>0</v>
      </c>
    </row>
    <row r="403" spans="1:43" ht="12.75">
      <c r="A403" s="5" t="s">
        <v>229</v>
      </c>
      <c r="B403" s="5" t="s">
        <v>589</v>
      </c>
      <c r="C403" s="5" t="s">
        <v>818</v>
      </c>
      <c r="D403" s="5" t="s">
        <v>1278</v>
      </c>
      <c r="E403" s="5" t="s">
        <v>1499</v>
      </c>
      <c r="F403" s="22">
        <v>1</v>
      </c>
      <c r="G403" s="22">
        <v>0</v>
      </c>
      <c r="H403" s="22">
        <f>F403*AE403</f>
        <v>0</v>
      </c>
      <c r="I403" s="22">
        <f>J403-H403</f>
        <v>0</v>
      </c>
      <c r="J403" s="22">
        <f>F403*G403</f>
        <v>0</v>
      </c>
      <c r="K403" s="22">
        <v>0</v>
      </c>
      <c r="L403" s="22">
        <f>F403*K403</f>
        <v>0</v>
      </c>
      <c r="M403" s="35" t="s">
        <v>1523</v>
      </c>
      <c r="N403" s="35" t="s">
        <v>11</v>
      </c>
      <c r="O403" s="22">
        <f>IF(N403="5",I403,0)</f>
        <v>0</v>
      </c>
      <c r="Z403" s="22">
        <f>IF(AD403=0,J403,0)</f>
        <v>0</v>
      </c>
      <c r="AA403" s="22">
        <f>IF(AD403=15,J403,0)</f>
        <v>0</v>
      </c>
      <c r="AB403" s="22">
        <f>IF(AD403=21,J403,0)</f>
        <v>0</v>
      </c>
      <c r="AD403" s="39">
        <v>15</v>
      </c>
      <c r="AE403" s="39">
        <f>G403*0</f>
        <v>0</v>
      </c>
      <c r="AF403" s="39">
        <f>G403*(1-0)</f>
        <v>0</v>
      </c>
      <c r="AM403" s="39">
        <f>F403*AE403</f>
        <v>0</v>
      </c>
      <c r="AN403" s="39">
        <f>F403*AF403</f>
        <v>0</v>
      </c>
      <c r="AO403" s="40" t="s">
        <v>1578</v>
      </c>
      <c r="AP403" s="40" t="s">
        <v>1602</v>
      </c>
      <c r="AQ403" s="31" t="s">
        <v>1608</v>
      </c>
    </row>
    <row r="404" spans="1:37" ht="12.75">
      <c r="A404" s="4"/>
      <c r="B404" s="14" t="s">
        <v>589</v>
      </c>
      <c r="C404" s="14" t="s">
        <v>819</v>
      </c>
      <c r="D404" s="104" t="s">
        <v>1116</v>
      </c>
      <c r="E404" s="105"/>
      <c r="F404" s="105"/>
      <c r="G404" s="105"/>
      <c r="H404" s="42">
        <f>SUM(H405:H405)</f>
        <v>0</v>
      </c>
      <c r="I404" s="42">
        <f>SUM(I405:I405)</f>
        <v>0</v>
      </c>
      <c r="J404" s="42">
        <f>H404+I404</f>
        <v>0</v>
      </c>
      <c r="K404" s="31"/>
      <c r="L404" s="42">
        <f>SUM(L405:L405)</f>
        <v>0</v>
      </c>
      <c r="M404" s="31"/>
      <c r="P404" s="42">
        <f>IF(Q404="PR",J404,SUM(O405:O405))</f>
        <v>0</v>
      </c>
      <c r="Q404" s="31" t="s">
        <v>1529</v>
      </c>
      <c r="R404" s="42">
        <f>IF(Q404="HS",H404,0)</f>
        <v>0</v>
      </c>
      <c r="S404" s="42">
        <f>IF(Q404="HS",I404-P404,0)</f>
        <v>0</v>
      </c>
      <c r="T404" s="42">
        <f>IF(Q404="PS",H404,0)</f>
        <v>0</v>
      </c>
      <c r="U404" s="42">
        <f>IF(Q404="PS",I404-P404,0)</f>
        <v>0</v>
      </c>
      <c r="V404" s="42">
        <f>IF(Q404="MP",H404,0)</f>
        <v>0</v>
      </c>
      <c r="W404" s="42">
        <f>IF(Q404="MP",I404-P404,0)</f>
        <v>0</v>
      </c>
      <c r="X404" s="42">
        <f>IF(Q404="OM",H404,0)</f>
        <v>0</v>
      </c>
      <c r="Y404" s="31" t="s">
        <v>589</v>
      </c>
      <c r="AI404" s="42">
        <f>SUM(Z405:Z405)</f>
        <v>0</v>
      </c>
      <c r="AJ404" s="42">
        <f>SUM(AA405:AA405)</f>
        <v>0</v>
      </c>
      <c r="AK404" s="42">
        <f>SUM(AB405:AB405)</f>
        <v>0</v>
      </c>
    </row>
    <row r="405" spans="1:43" ht="12.75">
      <c r="A405" s="5" t="s">
        <v>230</v>
      </c>
      <c r="B405" s="5" t="s">
        <v>589</v>
      </c>
      <c r="C405" s="5" t="s">
        <v>820</v>
      </c>
      <c r="D405" s="5" t="s">
        <v>1279</v>
      </c>
      <c r="E405" s="5" t="s">
        <v>1499</v>
      </c>
      <c r="F405" s="22">
        <v>1</v>
      </c>
      <c r="G405" s="22">
        <v>0</v>
      </c>
      <c r="H405" s="22">
        <f>F405*AE405</f>
        <v>0</v>
      </c>
      <c r="I405" s="22">
        <f>J405-H405</f>
        <v>0</v>
      </c>
      <c r="J405" s="22">
        <f>F405*G405</f>
        <v>0</v>
      </c>
      <c r="K405" s="22">
        <v>0</v>
      </c>
      <c r="L405" s="22">
        <f>F405*K405</f>
        <v>0</v>
      </c>
      <c r="M405" s="35" t="s">
        <v>1523</v>
      </c>
      <c r="N405" s="35" t="s">
        <v>11</v>
      </c>
      <c r="O405" s="22">
        <f>IF(N405="5",I405,0)</f>
        <v>0</v>
      </c>
      <c r="Z405" s="22">
        <f>IF(AD405=0,J405,0)</f>
        <v>0</v>
      </c>
      <c r="AA405" s="22">
        <f>IF(AD405=15,J405,0)</f>
        <v>0</v>
      </c>
      <c r="AB405" s="22">
        <f>IF(AD405=21,J405,0)</f>
        <v>0</v>
      </c>
      <c r="AD405" s="39">
        <v>15</v>
      </c>
      <c r="AE405" s="39">
        <f>G405*0</f>
        <v>0</v>
      </c>
      <c r="AF405" s="39">
        <f>G405*(1-0)</f>
        <v>0</v>
      </c>
      <c r="AM405" s="39">
        <f>F405*AE405</f>
        <v>0</v>
      </c>
      <c r="AN405" s="39">
        <f>F405*AF405</f>
        <v>0</v>
      </c>
      <c r="AO405" s="40" t="s">
        <v>1579</v>
      </c>
      <c r="AP405" s="40" t="s">
        <v>1602</v>
      </c>
      <c r="AQ405" s="31" t="s">
        <v>1608</v>
      </c>
    </row>
    <row r="406" spans="1:37" ht="12.75">
      <c r="A406" s="4"/>
      <c r="B406" s="14" t="s">
        <v>589</v>
      </c>
      <c r="C406" s="14" t="s">
        <v>821</v>
      </c>
      <c r="D406" s="104" t="s">
        <v>1138</v>
      </c>
      <c r="E406" s="105"/>
      <c r="F406" s="105"/>
      <c r="G406" s="105"/>
      <c r="H406" s="42">
        <f>SUM(H407:H407)</f>
        <v>0</v>
      </c>
      <c r="I406" s="42">
        <f>SUM(I407:I407)</f>
        <v>0</v>
      </c>
      <c r="J406" s="42">
        <f>H406+I406</f>
        <v>0</v>
      </c>
      <c r="K406" s="31"/>
      <c r="L406" s="42">
        <f>SUM(L407:L407)</f>
        <v>0</v>
      </c>
      <c r="M406" s="31"/>
      <c r="P406" s="42">
        <f>IF(Q406="PR",J406,SUM(O407:O407))</f>
        <v>0</v>
      </c>
      <c r="Q406" s="31" t="s">
        <v>1529</v>
      </c>
      <c r="R406" s="42">
        <f>IF(Q406="HS",H406,0)</f>
        <v>0</v>
      </c>
      <c r="S406" s="42">
        <f>IF(Q406="HS",I406-P406,0)</f>
        <v>0</v>
      </c>
      <c r="T406" s="42">
        <f>IF(Q406="PS",H406,0)</f>
        <v>0</v>
      </c>
      <c r="U406" s="42">
        <f>IF(Q406="PS",I406-P406,0)</f>
        <v>0</v>
      </c>
      <c r="V406" s="42">
        <f>IF(Q406="MP",H406,0)</f>
        <v>0</v>
      </c>
      <c r="W406" s="42">
        <f>IF(Q406="MP",I406-P406,0)</f>
        <v>0</v>
      </c>
      <c r="X406" s="42">
        <f>IF(Q406="OM",H406,0)</f>
        <v>0</v>
      </c>
      <c r="Y406" s="31" t="s">
        <v>589</v>
      </c>
      <c r="AI406" s="42">
        <f>SUM(Z407:Z407)</f>
        <v>0</v>
      </c>
      <c r="AJ406" s="42">
        <f>SUM(AA407:AA407)</f>
        <v>0</v>
      </c>
      <c r="AK406" s="42">
        <f>SUM(AB407:AB407)</f>
        <v>0</v>
      </c>
    </row>
    <row r="407" spans="1:43" ht="12.75">
      <c r="A407" s="5" t="s">
        <v>231</v>
      </c>
      <c r="B407" s="5" t="s">
        <v>589</v>
      </c>
      <c r="C407" s="5" t="s">
        <v>822</v>
      </c>
      <c r="D407" s="5" t="s">
        <v>1280</v>
      </c>
      <c r="E407" s="5" t="s">
        <v>1499</v>
      </c>
      <c r="F407" s="22">
        <v>1</v>
      </c>
      <c r="G407" s="22">
        <v>0</v>
      </c>
      <c r="H407" s="22">
        <f>F407*AE407</f>
        <v>0</v>
      </c>
      <c r="I407" s="22">
        <f>J407-H407</f>
        <v>0</v>
      </c>
      <c r="J407" s="22">
        <f>F407*G407</f>
        <v>0</v>
      </c>
      <c r="K407" s="22">
        <v>0</v>
      </c>
      <c r="L407" s="22">
        <f>F407*K407</f>
        <v>0</v>
      </c>
      <c r="M407" s="35" t="s">
        <v>1523</v>
      </c>
      <c r="N407" s="35" t="s">
        <v>11</v>
      </c>
      <c r="O407" s="22">
        <f>IF(N407="5",I407,0)</f>
        <v>0</v>
      </c>
      <c r="Z407" s="22">
        <f>IF(AD407=0,J407,0)</f>
        <v>0</v>
      </c>
      <c r="AA407" s="22">
        <f>IF(AD407=15,J407,0)</f>
        <v>0</v>
      </c>
      <c r="AB407" s="22">
        <f>IF(AD407=21,J407,0)</f>
        <v>0</v>
      </c>
      <c r="AD407" s="39">
        <v>15</v>
      </c>
      <c r="AE407" s="39">
        <f>G407*0</f>
        <v>0</v>
      </c>
      <c r="AF407" s="39">
        <f>G407*(1-0)</f>
        <v>0</v>
      </c>
      <c r="AM407" s="39">
        <f>F407*AE407</f>
        <v>0</v>
      </c>
      <c r="AN407" s="39">
        <f>F407*AF407</f>
        <v>0</v>
      </c>
      <c r="AO407" s="40" t="s">
        <v>1580</v>
      </c>
      <c r="AP407" s="40" t="s">
        <v>1602</v>
      </c>
      <c r="AQ407" s="31" t="s">
        <v>1608</v>
      </c>
    </row>
    <row r="408" spans="1:37" ht="12.75">
      <c r="A408" s="4"/>
      <c r="B408" s="14" t="s">
        <v>589</v>
      </c>
      <c r="C408" s="14" t="s">
        <v>649</v>
      </c>
      <c r="D408" s="104" t="s">
        <v>982</v>
      </c>
      <c r="E408" s="105"/>
      <c r="F408" s="105"/>
      <c r="G408" s="105"/>
      <c r="H408" s="42">
        <f>SUM(H409:H409)</f>
        <v>0</v>
      </c>
      <c r="I408" s="42">
        <f>SUM(I409:I409)</f>
        <v>0</v>
      </c>
      <c r="J408" s="42">
        <f>H408+I408</f>
        <v>0</v>
      </c>
      <c r="K408" s="31"/>
      <c r="L408" s="42">
        <f>SUM(L409:L409)</f>
        <v>0</v>
      </c>
      <c r="M408" s="31"/>
      <c r="P408" s="42">
        <f>IF(Q408="PR",J408,SUM(O409:O409))</f>
        <v>0</v>
      </c>
      <c r="Q408" s="31" t="s">
        <v>1529</v>
      </c>
      <c r="R408" s="42">
        <f>IF(Q408="HS",H408,0)</f>
        <v>0</v>
      </c>
      <c r="S408" s="42">
        <f>IF(Q408="HS",I408-P408,0)</f>
        <v>0</v>
      </c>
      <c r="T408" s="42">
        <f>IF(Q408="PS",H408,0)</f>
        <v>0</v>
      </c>
      <c r="U408" s="42">
        <f>IF(Q408="PS",I408-P408,0)</f>
        <v>0</v>
      </c>
      <c r="V408" s="42">
        <f>IF(Q408="MP",H408,0)</f>
        <v>0</v>
      </c>
      <c r="W408" s="42">
        <f>IF(Q408="MP",I408-P408,0)</f>
        <v>0</v>
      </c>
      <c r="X408" s="42">
        <f>IF(Q408="OM",H408,0)</f>
        <v>0</v>
      </c>
      <c r="Y408" s="31" t="s">
        <v>589</v>
      </c>
      <c r="AI408" s="42">
        <f>SUM(Z409:Z409)</f>
        <v>0</v>
      </c>
      <c r="AJ408" s="42">
        <f>SUM(AA409:AA409)</f>
        <v>0</v>
      </c>
      <c r="AK408" s="42">
        <f>SUM(AB409:AB409)</f>
        <v>0</v>
      </c>
    </row>
    <row r="409" spans="1:43" ht="12.75">
      <c r="A409" s="5" t="s">
        <v>232</v>
      </c>
      <c r="B409" s="5" t="s">
        <v>589</v>
      </c>
      <c r="C409" s="5" t="s">
        <v>823</v>
      </c>
      <c r="D409" s="5" t="s">
        <v>1281</v>
      </c>
      <c r="E409" s="5" t="s">
        <v>1499</v>
      </c>
      <c r="F409" s="22">
        <v>1</v>
      </c>
      <c r="G409" s="22">
        <v>0</v>
      </c>
      <c r="H409" s="22">
        <f>F409*AE409</f>
        <v>0</v>
      </c>
      <c r="I409" s="22">
        <f>J409-H409</f>
        <v>0</v>
      </c>
      <c r="J409" s="22">
        <f>F409*G409</f>
        <v>0</v>
      </c>
      <c r="K409" s="22">
        <v>0</v>
      </c>
      <c r="L409" s="22">
        <f>F409*K409</f>
        <v>0</v>
      </c>
      <c r="M409" s="35" t="s">
        <v>1523</v>
      </c>
      <c r="N409" s="35" t="s">
        <v>11</v>
      </c>
      <c r="O409" s="22">
        <f>IF(N409="5",I409,0)</f>
        <v>0</v>
      </c>
      <c r="Z409" s="22">
        <f>IF(AD409=0,J409,0)</f>
        <v>0</v>
      </c>
      <c r="AA409" s="22">
        <f>IF(AD409=15,J409,0)</f>
        <v>0</v>
      </c>
      <c r="AB409" s="22">
        <f>IF(AD409=21,J409,0)</f>
        <v>0</v>
      </c>
      <c r="AD409" s="39">
        <v>15</v>
      </c>
      <c r="AE409" s="39">
        <f>G409*0</f>
        <v>0</v>
      </c>
      <c r="AF409" s="39">
        <f>G409*(1-0)</f>
        <v>0</v>
      </c>
      <c r="AM409" s="39">
        <f>F409*AE409</f>
        <v>0</v>
      </c>
      <c r="AN409" s="39">
        <f>F409*AF409</f>
        <v>0</v>
      </c>
      <c r="AO409" s="40" t="s">
        <v>1554</v>
      </c>
      <c r="AP409" s="40" t="s">
        <v>1602</v>
      </c>
      <c r="AQ409" s="31" t="s">
        <v>1608</v>
      </c>
    </row>
    <row r="410" spans="1:37" ht="12.75">
      <c r="A410" s="4"/>
      <c r="B410" s="14" t="s">
        <v>589</v>
      </c>
      <c r="C410" s="14" t="s">
        <v>824</v>
      </c>
      <c r="D410" s="104" t="s">
        <v>1182</v>
      </c>
      <c r="E410" s="105"/>
      <c r="F410" s="105"/>
      <c r="G410" s="105"/>
      <c r="H410" s="42">
        <f>SUM(H411:H411)</f>
        <v>0</v>
      </c>
      <c r="I410" s="42">
        <f>SUM(I411:I411)</f>
        <v>0</v>
      </c>
      <c r="J410" s="42">
        <f>H410+I410</f>
        <v>0</v>
      </c>
      <c r="K410" s="31"/>
      <c r="L410" s="42">
        <f>SUM(L411:L411)</f>
        <v>0</v>
      </c>
      <c r="M410" s="31"/>
      <c r="P410" s="42">
        <f>IF(Q410="PR",J410,SUM(O411:O411))</f>
        <v>0</v>
      </c>
      <c r="Q410" s="31" t="s">
        <v>1529</v>
      </c>
      <c r="R410" s="42">
        <f>IF(Q410="HS",H410,0)</f>
        <v>0</v>
      </c>
      <c r="S410" s="42">
        <f>IF(Q410="HS",I410-P410,0)</f>
        <v>0</v>
      </c>
      <c r="T410" s="42">
        <f>IF(Q410="PS",H410,0)</f>
        <v>0</v>
      </c>
      <c r="U410" s="42">
        <f>IF(Q410="PS",I410-P410,0)</f>
        <v>0</v>
      </c>
      <c r="V410" s="42">
        <f>IF(Q410="MP",H410,0)</f>
        <v>0</v>
      </c>
      <c r="W410" s="42">
        <f>IF(Q410="MP",I410-P410,0)</f>
        <v>0</v>
      </c>
      <c r="X410" s="42">
        <f>IF(Q410="OM",H410,0)</f>
        <v>0</v>
      </c>
      <c r="Y410" s="31" t="s">
        <v>589</v>
      </c>
      <c r="AI410" s="42">
        <f>SUM(Z411:Z411)</f>
        <v>0</v>
      </c>
      <c r="AJ410" s="42">
        <f>SUM(AA411:AA411)</f>
        <v>0</v>
      </c>
      <c r="AK410" s="42">
        <f>SUM(AB411:AB411)</f>
        <v>0</v>
      </c>
    </row>
    <row r="411" spans="1:43" ht="12.75">
      <c r="A411" s="5" t="s">
        <v>233</v>
      </c>
      <c r="B411" s="5" t="s">
        <v>589</v>
      </c>
      <c r="C411" s="5" t="s">
        <v>825</v>
      </c>
      <c r="D411" s="5" t="s">
        <v>1282</v>
      </c>
      <c r="E411" s="5" t="s">
        <v>1499</v>
      </c>
      <c r="F411" s="22">
        <v>1</v>
      </c>
      <c r="G411" s="22">
        <v>0</v>
      </c>
      <c r="H411" s="22">
        <f>F411*AE411</f>
        <v>0</v>
      </c>
      <c r="I411" s="22">
        <f>J411-H411</f>
        <v>0</v>
      </c>
      <c r="J411" s="22">
        <f>F411*G411</f>
        <v>0</v>
      </c>
      <c r="K411" s="22">
        <v>0</v>
      </c>
      <c r="L411" s="22">
        <f>F411*K411</f>
        <v>0</v>
      </c>
      <c r="M411" s="35" t="s">
        <v>1523</v>
      </c>
      <c r="N411" s="35" t="s">
        <v>11</v>
      </c>
      <c r="O411" s="22">
        <f>IF(N411="5",I411,0)</f>
        <v>0</v>
      </c>
      <c r="Z411" s="22">
        <f>IF(AD411=0,J411,0)</f>
        <v>0</v>
      </c>
      <c r="AA411" s="22">
        <f>IF(AD411=15,J411,0)</f>
        <v>0</v>
      </c>
      <c r="AB411" s="22">
        <f>IF(AD411=21,J411,0)</f>
        <v>0</v>
      </c>
      <c r="AD411" s="39">
        <v>15</v>
      </c>
      <c r="AE411" s="39">
        <f>G411*0</f>
        <v>0</v>
      </c>
      <c r="AF411" s="39">
        <f>G411*(1-0)</f>
        <v>0</v>
      </c>
      <c r="AM411" s="39">
        <f>F411*AE411</f>
        <v>0</v>
      </c>
      <c r="AN411" s="39">
        <f>F411*AF411</f>
        <v>0</v>
      </c>
      <c r="AO411" s="40" t="s">
        <v>1581</v>
      </c>
      <c r="AP411" s="40" t="s">
        <v>1602</v>
      </c>
      <c r="AQ411" s="31" t="s">
        <v>1608</v>
      </c>
    </row>
    <row r="412" spans="1:37" ht="12.75">
      <c r="A412" s="4"/>
      <c r="B412" s="14" t="s">
        <v>589</v>
      </c>
      <c r="C412" s="14" t="s">
        <v>826</v>
      </c>
      <c r="D412" s="104" t="s">
        <v>1185</v>
      </c>
      <c r="E412" s="105"/>
      <c r="F412" s="105"/>
      <c r="G412" s="105"/>
      <c r="H412" s="42">
        <f>SUM(H413:H413)</f>
        <v>0</v>
      </c>
      <c r="I412" s="42">
        <f>SUM(I413:I413)</f>
        <v>0</v>
      </c>
      <c r="J412" s="42">
        <f>H412+I412</f>
        <v>0</v>
      </c>
      <c r="K412" s="31"/>
      <c r="L412" s="42">
        <f>SUM(L413:L413)</f>
        <v>0</v>
      </c>
      <c r="M412" s="31"/>
      <c r="P412" s="42">
        <f>IF(Q412="PR",J412,SUM(O413:O413))</f>
        <v>0</v>
      </c>
      <c r="Q412" s="31" t="s">
        <v>1529</v>
      </c>
      <c r="R412" s="42">
        <f>IF(Q412="HS",H412,0)</f>
        <v>0</v>
      </c>
      <c r="S412" s="42">
        <f>IF(Q412="HS",I412-P412,0)</f>
        <v>0</v>
      </c>
      <c r="T412" s="42">
        <f>IF(Q412="PS",H412,0)</f>
        <v>0</v>
      </c>
      <c r="U412" s="42">
        <f>IF(Q412="PS",I412-P412,0)</f>
        <v>0</v>
      </c>
      <c r="V412" s="42">
        <f>IF(Q412="MP",H412,0)</f>
        <v>0</v>
      </c>
      <c r="W412" s="42">
        <f>IF(Q412="MP",I412-P412,0)</f>
        <v>0</v>
      </c>
      <c r="X412" s="42">
        <f>IF(Q412="OM",H412,0)</f>
        <v>0</v>
      </c>
      <c r="Y412" s="31" t="s">
        <v>589</v>
      </c>
      <c r="AI412" s="42">
        <f>SUM(Z413:Z413)</f>
        <v>0</v>
      </c>
      <c r="AJ412" s="42">
        <f>SUM(AA413:AA413)</f>
        <v>0</v>
      </c>
      <c r="AK412" s="42">
        <f>SUM(AB413:AB413)</f>
        <v>0</v>
      </c>
    </row>
    <row r="413" spans="1:43" ht="12.75">
      <c r="A413" s="5" t="s">
        <v>234</v>
      </c>
      <c r="B413" s="5" t="s">
        <v>589</v>
      </c>
      <c r="C413" s="5" t="s">
        <v>827</v>
      </c>
      <c r="D413" s="5" t="s">
        <v>1283</v>
      </c>
      <c r="E413" s="5" t="s">
        <v>1499</v>
      </c>
      <c r="F413" s="22">
        <v>1</v>
      </c>
      <c r="G413" s="22">
        <v>0</v>
      </c>
      <c r="H413" s="22">
        <f>F413*AE413</f>
        <v>0</v>
      </c>
      <c r="I413" s="22">
        <f>J413-H413</f>
        <v>0</v>
      </c>
      <c r="J413" s="22">
        <f>F413*G413</f>
        <v>0</v>
      </c>
      <c r="K413" s="22">
        <v>0</v>
      </c>
      <c r="L413" s="22">
        <f>F413*K413</f>
        <v>0</v>
      </c>
      <c r="M413" s="35" t="s">
        <v>1523</v>
      </c>
      <c r="N413" s="35" t="s">
        <v>11</v>
      </c>
      <c r="O413" s="22">
        <f>IF(N413="5",I413,0)</f>
        <v>0</v>
      </c>
      <c r="Z413" s="22">
        <f>IF(AD413=0,J413,0)</f>
        <v>0</v>
      </c>
      <c r="AA413" s="22">
        <f>IF(AD413=15,J413,0)</f>
        <v>0</v>
      </c>
      <c r="AB413" s="22">
        <f>IF(AD413=21,J413,0)</f>
        <v>0</v>
      </c>
      <c r="AD413" s="39">
        <v>15</v>
      </c>
      <c r="AE413" s="39">
        <f>G413*0</f>
        <v>0</v>
      </c>
      <c r="AF413" s="39">
        <f>G413*(1-0)</f>
        <v>0</v>
      </c>
      <c r="AM413" s="39">
        <f>F413*AE413</f>
        <v>0</v>
      </c>
      <c r="AN413" s="39">
        <f>F413*AF413</f>
        <v>0</v>
      </c>
      <c r="AO413" s="40" t="s">
        <v>1582</v>
      </c>
      <c r="AP413" s="40" t="s">
        <v>1602</v>
      </c>
      <c r="AQ413" s="31" t="s">
        <v>1608</v>
      </c>
    </row>
    <row r="414" spans="1:37" ht="12.75">
      <c r="A414" s="4"/>
      <c r="B414" s="14" t="s">
        <v>589</v>
      </c>
      <c r="C414" s="14" t="s">
        <v>828</v>
      </c>
      <c r="D414" s="104" t="s">
        <v>1190</v>
      </c>
      <c r="E414" s="105"/>
      <c r="F414" s="105"/>
      <c r="G414" s="105"/>
      <c r="H414" s="42">
        <f>SUM(H415:H415)</f>
        <v>0</v>
      </c>
      <c r="I414" s="42">
        <f>SUM(I415:I415)</f>
        <v>0</v>
      </c>
      <c r="J414" s="42">
        <f>H414+I414</f>
        <v>0</v>
      </c>
      <c r="K414" s="31"/>
      <c r="L414" s="42">
        <f>SUM(L415:L415)</f>
        <v>0</v>
      </c>
      <c r="M414" s="31"/>
      <c r="P414" s="42">
        <f>IF(Q414="PR",J414,SUM(O415:O415))</f>
        <v>0</v>
      </c>
      <c r="Q414" s="31" t="s">
        <v>1529</v>
      </c>
      <c r="R414" s="42">
        <f>IF(Q414="HS",H414,0)</f>
        <v>0</v>
      </c>
      <c r="S414" s="42">
        <f>IF(Q414="HS",I414-P414,0)</f>
        <v>0</v>
      </c>
      <c r="T414" s="42">
        <f>IF(Q414="PS",H414,0)</f>
        <v>0</v>
      </c>
      <c r="U414" s="42">
        <f>IF(Q414="PS",I414-P414,0)</f>
        <v>0</v>
      </c>
      <c r="V414" s="42">
        <f>IF(Q414="MP",H414,0)</f>
        <v>0</v>
      </c>
      <c r="W414" s="42">
        <f>IF(Q414="MP",I414-P414,0)</f>
        <v>0</v>
      </c>
      <c r="X414" s="42">
        <f>IF(Q414="OM",H414,0)</f>
        <v>0</v>
      </c>
      <c r="Y414" s="31" t="s">
        <v>589</v>
      </c>
      <c r="AI414" s="42">
        <f>SUM(Z415:Z415)</f>
        <v>0</v>
      </c>
      <c r="AJ414" s="42">
        <f>SUM(AA415:AA415)</f>
        <v>0</v>
      </c>
      <c r="AK414" s="42">
        <f>SUM(AB415:AB415)</f>
        <v>0</v>
      </c>
    </row>
    <row r="415" spans="1:43" ht="12.75">
      <c r="A415" s="5" t="s">
        <v>235</v>
      </c>
      <c r="B415" s="5" t="s">
        <v>589</v>
      </c>
      <c r="C415" s="5" t="s">
        <v>829</v>
      </c>
      <c r="D415" s="5" t="s">
        <v>1284</v>
      </c>
      <c r="E415" s="5" t="s">
        <v>1499</v>
      </c>
      <c r="F415" s="22">
        <v>1</v>
      </c>
      <c r="G415" s="22">
        <v>0</v>
      </c>
      <c r="H415" s="22">
        <f>F415*AE415</f>
        <v>0</v>
      </c>
      <c r="I415" s="22">
        <f>J415-H415</f>
        <v>0</v>
      </c>
      <c r="J415" s="22">
        <f>F415*G415</f>
        <v>0</v>
      </c>
      <c r="K415" s="22">
        <v>0</v>
      </c>
      <c r="L415" s="22">
        <f>F415*K415</f>
        <v>0</v>
      </c>
      <c r="M415" s="35" t="s">
        <v>1523</v>
      </c>
      <c r="N415" s="35" t="s">
        <v>11</v>
      </c>
      <c r="O415" s="22">
        <f>IF(N415="5",I415,0)</f>
        <v>0</v>
      </c>
      <c r="Z415" s="22">
        <f>IF(AD415=0,J415,0)</f>
        <v>0</v>
      </c>
      <c r="AA415" s="22">
        <f>IF(AD415=15,J415,0)</f>
        <v>0</v>
      </c>
      <c r="AB415" s="22">
        <f>IF(AD415=21,J415,0)</f>
        <v>0</v>
      </c>
      <c r="AD415" s="39">
        <v>15</v>
      </c>
      <c r="AE415" s="39">
        <f>G415*0</f>
        <v>0</v>
      </c>
      <c r="AF415" s="39">
        <f>G415*(1-0)</f>
        <v>0</v>
      </c>
      <c r="AM415" s="39">
        <f>F415*AE415</f>
        <v>0</v>
      </c>
      <c r="AN415" s="39">
        <f>F415*AF415</f>
        <v>0</v>
      </c>
      <c r="AO415" s="40" t="s">
        <v>1583</v>
      </c>
      <c r="AP415" s="40" t="s">
        <v>1602</v>
      </c>
      <c r="AQ415" s="31" t="s">
        <v>1608</v>
      </c>
    </row>
    <row r="416" spans="1:37" ht="12.75">
      <c r="A416" s="4"/>
      <c r="B416" s="14" t="s">
        <v>589</v>
      </c>
      <c r="C416" s="14" t="s">
        <v>651</v>
      </c>
      <c r="D416" s="104" t="s">
        <v>995</v>
      </c>
      <c r="E416" s="105"/>
      <c r="F416" s="105"/>
      <c r="G416" s="105"/>
      <c r="H416" s="42">
        <f>SUM(H417:H417)</f>
        <v>0</v>
      </c>
      <c r="I416" s="42">
        <f>SUM(I417:I417)</f>
        <v>0</v>
      </c>
      <c r="J416" s="42">
        <f>H416+I416</f>
        <v>0</v>
      </c>
      <c r="K416" s="31"/>
      <c r="L416" s="42">
        <f>SUM(L417:L417)</f>
        <v>0</v>
      </c>
      <c r="M416" s="31"/>
      <c r="P416" s="42">
        <f>IF(Q416="PR",J416,SUM(O417:O417))</f>
        <v>0</v>
      </c>
      <c r="Q416" s="31" t="s">
        <v>1529</v>
      </c>
      <c r="R416" s="42">
        <f>IF(Q416="HS",H416,0)</f>
        <v>0</v>
      </c>
      <c r="S416" s="42">
        <f>IF(Q416="HS",I416-P416,0)</f>
        <v>0</v>
      </c>
      <c r="T416" s="42">
        <f>IF(Q416="PS",H416,0)</f>
        <v>0</v>
      </c>
      <c r="U416" s="42">
        <f>IF(Q416="PS",I416-P416,0)</f>
        <v>0</v>
      </c>
      <c r="V416" s="42">
        <f>IF(Q416="MP",H416,0)</f>
        <v>0</v>
      </c>
      <c r="W416" s="42">
        <f>IF(Q416="MP",I416-P416,0)</f>
        <v>0</v>
      </c>
      <c r="X416" s="42">
        <f>IF(Q416="OM",H416,0)</f>
        <v>0</v>
      </c>
      <c r="Y416" s="31" t="s">
        <v>589</v>
      </c>
      <c r="AI416" s="42">
        <f>SUM(Z417:Z417)</f>
        <v>0</v>
      </c>
      <c r="AJ416" s="42">
        <f>SUM(AA417:AA417)</f>
        <v>0</v>
      </c>
      <c r="AK416" s="42">
        <f>SUM(AB417:AB417)</f>
        <v>0</v>
      </c>
    </row>
    <row r="417" spans="1:43" ht="12.75">
      <c r="A417" s="5" t="s">
        <v>236</v>
      </c>
      <c r="B417" s="5" t="s">
        <v>589</v>
      </c>
      <c r="C417" s="5" t="s">
        <v>830</v>
      </c>
      <c r="D417" s="5" t="s">
        <v>1285</v>
      </c>
      <c r="E417" s="5" t="s">
        <v>1499</v>
      </c>
      <c r="F417" s="22">
        <v>1</v>
      </c>
      <c r="G417" s="22">
        <v>0</v>
      </c>
      <c r="H417" s="22">
        <f>F417*AE417</f>
        <v>0</v>
      </c>
      <c r="I417" s="22">
        <f>J417-H417</f>
        <v>0</v>
      </c>
      <c r="J417" s="22">
        <f>F417*G417</f>
        <v>0</v>
      </c>
      <c r="K417" s="22">
        <v>0</v>
      </c>
      <c r="L417" s="22">
        <f>F417*K417</f>
        <v>0</v>
      </c>
      <c r="M417" s="35" t="s">
        <v>1523</v>
      </c>
      <c r="N417" s="35" t="s">
        <v>11</v>
      </c>
      <c r="O417" s="22">
        <f>IF(N417="5",I417,0)</f>
        <v>0</v>
      </c>
      <c r="Z417" s="22">
        <f>IF(AD417=0,J417,0)</f>
        <v>0</v>
      </c>
      <c r="AA417" s="22">
        <f>IF(AD417=15,J417,0)</f>
        <v>0</v>
      </c>
      <c r="AB417" s="22">
        <f>IF(AD417=21,J417,0)</f>
        <v>0</v>
      </c>
      <c r="AD417" s="39">
        <v>15</v>
      </c>
      <c r="AE417" s="39">
        <f>G417*0</f>
        <v>0</v>
      </c>
      <c r="AF417" s="39">
        <f>G417*(1-0)</f>
        <v>0</v>
      </c>
      <c r="AM417" s="39">
        <f>F417*AE417</f>
        <v>0</v>
      </c>
      <c r="AN417" s="39">
        <f>F417*AF417</f>
        <v>0</v>
      </c>
      <c r="AO417" s="40" t="s">
        <v>1555</v>
      </c>
      <c r="AP417" s="40" t="s">
        <v>1602</v>
      </c>
      <c r="AQ417" s="31" t="s">
        <v>1608</v>
      </c>
    </row>
    <row r="418" spans="1:37" ht="12.75">
      <c r="A418" s="4"/>
      <c r="B418" s="14" t="s">
        <v>589</v>
      </c>
      <c r="C418" s="14" t="s">
        <v>831</v>
      </c>
      <c r="D418" s="104" t="s">
        <v>1211</v>
      </c>
      <c r="E418" s="105"/>
      <c r="F418" s="105"/>
      <c r="G418" s="105"/>
      <c r="H418" s="42">
        <f>SUM(H419:H419)</f>
        <v>0</v>
      </c>
      <c r="I418" s="42">
        <f>SUM(I419:I419)</f>
        <v>0</v>
      </c>
      <c r="J418" s="42">
        <f>H418+I418</f>
        <v>0</v>
      </c>
      <c r="K418" s="31"/>
      <c r="L418" s="42">
        <f>SUM(L419:L419)</f>
        <v>0</v>
      </c>
      <c r="M418" s="31"/>
      <c r="P418" s="42">
        <f>IF(Q418="PR",J418,SUM(O419:O419))</f>
        <v>0</v>
      </c>
      <c r="Q418" s="31" t="s">
        <v>1529</v>
      </c>
      <c r="R418" s="42">
        <f>IF(Q418="HS",H418,0)</f>
        <v>0</v>
      </c>
      <c r="S418" s="42">
        <f>IF(Q418="HS",I418-P418,0)</f>
        <v>0</v>
      </c>
      <c r="T418" s="42">
        <f>IF(Q418="PS",H418,0)</f>
        <v>0</v>
      </c>
      <c r="U418" s="42">
        <f>IF(Q418="PS",I418-P418,0)</f>
        <v>0</v>
      </c>
      <c r="V418" s="42">
        <f>IF(Q418="MP",H418,0)</f>
        <v>0</v>
      </c>
      <c r="W418" s="42">
        <f>IF(Q418="MP",I418-P418,0)</f>
        <v>0</v>
      </c>
      <c r="X418" s="42">
        <f>IF(Q418="OM",H418,0)</f>
        <v>0</v>
      </c>
      <c r="Y418" s="31" t="s">
        <v>589</v>
      </c>
      <c r="AI418" s="42">
        <f>SUM(Z419:Z419)</f>
        <v>0</v>
      </c>
      <c r="AJ418" s="42">
        <f>SUM(AA419:AA419)</f>
        <v>0</v>
      </c>
      <c r="AK418" s="42">
        <f>SUM(AB419:AB419)</f>
        <v>0</v>
      </c>
    </row>
    <row r="419" spans="1:43" ht="12.75">
      <c r="A419" s="5" t="s">
        <v>237</v>
      </c>
      <c r="B419" s="5" t="s">
        <v>589</v>
      </c>
      <c r="C419" s="5" t="s">
        <v>832</v>
      </c>
      <c r="D419" s="5" t="s">
        <v>1286</v>
      </c>
      <c r="E419" s="5" t="s">
        <v>1499</v>
      </c>
      <c r="F419" s="22">
        <v>1</v>
      </c>
      <c r="G419" s="22">
        <v>0</v>
      </c>
      <c r="H419" s="22">
        <f>F419*AE419</f>
        <v>0</v>
      </c>
      <c r="I419" s="22">
        <f>J419-H419</f>
        <v>0</v>
      </c>
      <c r="J419" s="22">
        <f>F419*G419</f>
        <v>0</v>
      </c>
      <c r="K419" s="22">
        <v>0</v>
      </c>
      <c r="L419" s="22">
        <f>F419*K419</f>
        <v>0</v>
      </c>
      <c r="M419" s="35" t="s">
        <v>1523</v>
      </c>
      <c r="N419" s="35" t="s">
        <v>11</v>
      </c>
      <c r="O419" s="22">
        <f>IF(N419="5",I419,0)</f>
        <v>0</v>
      </c>
      <c r="Z419" s="22">
        <f>IF(AD419=0,J419,0)</f>
        <v>0</v>
      </c>
      <c r="AA419" s="22">
        <f>IF(AD419=15,J419,0)</f>
        <v>0</v>
      </c>
      <c r="AB419" s="22">
        <f>IF(AD419=21,J419,0)</f>
        <v>0</v>
      </c>
      <c r="AD419" s="39">
        <v>15</v>
      </c>
      <c r="AE419" s="39">
        <f>G419*0</f>
        <v>0</v>
      </c>
      <c r="AF419" s="39">
        <f>G419*(1-0)</f>
        <v>0</v>
      </c>
      <c r="AM419" s="39">
        <f>F419*AE419</f>
        <v>0</v>
      </c>
      <c r="AN419" s="39">
        <f>F419*AF419</f>
        <v>0</v>
      </c>
      <c r="AO419" s="40" t="s">
        <v>1584</v>
      </c>
      <c r="AP419" s="40" t="s">
        <v>1602</v>
      </c>
      <c r="AQ419" s="31" t="s">
        <v>1608</v>
      </c>
    </row>
    <row r="420" spans="1:37" ht="12.75">
      <c r="A420" s="4"/>
      <c r="B420" s="14" t="s">
        <v>589</v>
      </c>
      <c r="C420" s="14" t="s">
        <v>653</v>
      </c>
      <c r="D420" s="104" t="s">
        <v>1003</v>
      </c>
      <c r="E420" s="105"/>
      <c r="F420" s="105"/>
      <c r="G420" s="105"/>
      <c r="H420" s="42">
        <f>SUM(H421:H421)</f>
        <v>0</v>
      </c>
      <c r="I420" s="42">
        <f>SUM(I421:I421)</f>
        <v>0</v>
      </c>
      <c r="J420" s="42">
        <f>H420+I420</f>
        <v>0</v>
      </c>
      <c r="K420" s="31"/>
      <c r="L420" s="42">
        <f>SUM(L421:L421)</f>
        <v>0</v>
      </c>
      <c r="M420" s="31"/>
      <c r="P420" s="42">
        <f>IF(Q420="PR",J420,SUM(O421:O421))</f>
        <v>0</v>
      </c>
      <c r="Q420" s="31" t="s">
        <v>1529</v>
      </c>
      <c r="R420" s="42">
        <f>IF(Q420="HS",H420,0)</f>
        <v>0</v>
      </c>
      <c r="S420" s="42">
        <f>IF(Q420="HS",I420-P420,0)</f>
        <v>0</v>
      </c>
      <c r="T420" s="42">
        <f>IF(Q420="PS",H420,0)</f>
        <v>0</v>
      </c>
      <c r="U420" s="42">
        <f>IF(Q420="PS",I420-P420,0)</f>
        <v>0</v>
      </c>
      <c r="V420" s="42">
        <f>IF(Q420="MP",H420,0)</f>
        <v>0</v>
      </c>
      <c r="W420" s="42">
        <f>IF(Q420="MP",I420-P420,0)</f>
        <v>0</v>
      </c>
      <c r="X420" s="42">
        <f>IF(Q420="OM",H420,0)</f>
        <v>0</v>
      </c>
      <c r="Y420" s="31" t="s">
        <v>589</v>
      </c>
      <c r="AI420" s="42">
        <f>SUM(Z421:Z421)</f>
        <v>0</v>
      </c>
      <c r="AJ420" s="42">
        <f>SUM(AA421:AA421)</f>
        <v>0</v>
      </c>
      <c r="AK420" s="42">
        <f>SUM(AB421:AB421)</f>
        <v>0</v>
      </c>
    </row>
    <row r="421" spans="1:43" ht="12.75">
      <c r="A421" s="5" t="s">
        <v>238</v>
      </c>
      <c r="B421" s="5" t="s">
        <v>589</v>
      </c>
      <c r="C421" s="5" t="s">
        <v>833</v>
      </c>
      <c r="D421" s="5" t="s">
        <v>1287</v>
      </c>
      <c r="E421" s="5" t="s">
        <v>1499</v>
      </c>
      <c r="F421" s="22">
        <v>1</v>
      </c>
      <c r="G421" s="22">
        <v>0</v>
      </c>
      <c r="H421" s="22">
        <f>F421*AE421</f>
        <v>0</v>
      </c>
      <c r="I421" s="22">
        <f>J421-H421</f>
        <v>0</v>
      </c>
      <c r="J421" s="22">
        <f>F421*G421</f>
        <v>0</v>
      </c>
      <c r="K421" s="22">
        <v>0</v>
      </c>
      <c r="L421" s="22">
        <f>F421*K421</f>
        <v>0</v>
      </c>
      <c r="M421" s="35" t="s">
        <v>1523</v>
      </c>
      <c r="N421" s="35" t="s">
        <v>11</v>
      </c>
      <c r="O421" s="22">
        <f>IF(N421="5",I421,0)</f>
        <v>0</v>
      </c>
      <c r="Z421" s="22">
        <f>IF(AD421=0,J421,0)</f>
        <v>0</v>
      </c>
      <c r="AA421" s="22">
        <f>IF(AD421=15,J421,0)</f>
        <v>0</v>
      </c>
      <c r="AB421" s="22">
        <f>IF(AD421=21,J421,0)</f>
        <v>0</v>
      </c>
      <c r="AD421" s="39">
        <v>15</v>
      </c>
      <c r="AE421" s="39">
        <f>G421*0</f>
        <v>0</v>
      </c>
      <c r="AF421" s="39">
        <f>G421*(1-0)</f>
        <v>0</v>
      </c>
      <c r="AM421" s="39">
        <f>F421*AE421</f>
        <v>0</v>
      </c>
      <c r="AN421" s="39">
        <f>F421*AF421</f>
        <v>0</v>
      </c>
      <c r="AO421" s="40" t="s">
        <v>1556</v>
      </c>
      <c r="AP421" s="40" t="s">
        <v>1602</v>
      </c>
      <c r="AQ421" s="31" t="s">
        <v>1608</v>
      </c>
    </row>
    <row r="422" spans="1:37" ht="12.75">
      <c r="A422" s="4"/>
      <c r="B422" s="14" t="s">
        <v>589</v>
      </c>
      <c r="C422" s="14" t="s">
        <v>834</v>
      </c>
      <c r="D422" s="104" t="s">
        <v>1227</v>
      </c>
      <c r="E422" s="105"/>
      <c r="F422" s="105"/>
      <c r="G422" s="105"/>
      <c r="H422" s="42">
        <f>SUM(H423:H423)</f>
        <v>0</v>
      </c>
      <c r="I422" s="42">
        <f>SUM(I423:I423)</f>
        <v>0</v>
      </c>
      <c r="J422" s="42">
        <f>H422+I422</f>
        <v>0</v>
      </c>
      <c r="K422" s="31"/>
      <c r="L422" s="42">
        <f>SUM(L423:L423)</f>
        <v>0</v>
      </c>
      <c r="M422" s="31"/>
      <c r="P422" s="42">
        <f>IF(Q422="PR",J422,SUM(O423:O423))</f>
        <v>0</v>
      </c>
      <c r="Q422" s="31" t="s">
        <v>1529</v>
      </c>
      <c r="R422" s="42">
        <f>IF(Q422="HS",H422,0)</f>
        <v>0</v>
      </c>
      <c r="S422" s="42">
        <f>IF(Q422="HS",I422-P422,0)</f>
        <v>0</v>
      </c>
      <c r="T422" s="42">
        <f>IF(Q422="PS",H422,0)</f>
        <v>0</v>
      </c>
      <c r="U422" s="42">
        <f>IF(Q422="PS",I422-P422,0)</f>
        <v>0</v>
      </c>
      <c r="V422" s="42">
        <f>IF(Q422="MP",H422,0)</f>
        <v>0</v>
      </c>
      <c r="W422" s="42">
        <f>IF(Q422="MP",I422-P422,0)</f>
        <v>0</v>
      </c>
      <c r="X422" s="42">
        <f>IF(Q422="OM",H422,0)</f>
        <v>0</v>
      </c>
      <c r="Y422" s="31" t="s">
        <v>589</v>
      </c>
      <c r="AI422" s="42">
        <f>SUM(Z423:Z423)</f>
        <v>0</v>
      </c>
      <c r="AJ422" s="42">
        <f>SUM(AA423:AA423)</f>
        <v>0</v>
      </c>
      <c r="AK422" s="42">
        <f>SUM(AB423:AB423)</f>
        <v>0</v>
      </c>
    </row>
    <row r="423" spans="1:43" ht="12.75">
      <c r="A423" s="5" t="s">
        <v>239</v>
      </c>
      <c r="B423" s="5" t="s">
        <v>589</v>
      </c>
      <c r="C423" s="5" t="s">
        <v>835</v>
      </c>
      <c r="D423" s="5" t="s">
        <v>1288</v>
      </c>
      <c r="E423" s="5" t="s">
        <v>1499</v>
      </c>
      <c r="F423" s="22">
        <v>1</v>
      </c>
      <c r="G423" s="22">
        <v>0</v>
      </c>
      <c r="H423" s="22">
        <f>F423*AE423</f>
        <v>0</v>
      </c>
      <c r="I423" s="22">
        <f>J423-H423</f>
        <v>0</v>
      </c>
      <c r="J423" s="22">
        <f>F423*G423</f>
        <v>0</v>
      </c>
      <c r="K423" s="22">
        <v>0</v>
      </c>
      <c r="L423" s="22">
        <f>F423*K423</f>
        <v>0</v>
      </c>
      <c r="M423" s="35" t="s">
        <v>1523</v>
      </c>
      <c r="N423" s="35" t="s">
        <v>11</v>
      </c>
      <c r="O423" s="22">
        <f>IF(N423="5",I423,0)</f>
        <v>0</v>
      </c>
      <c r="Z423" s="22">
        <f>IF(AD423=0,J423,0)</f>
        <v>0</v>
      </c>
      <c r="AA423" s="22">
        <f>IF(AD423=15,J423,0)</f>
        <v>0</v>
      </c>
      <c r="AB423" s="22">
        <f>IF(AD423=21,J423,0)</f>
        <v>0</v>
      </c>
      <c r="AD423" s="39">
        <v>15</v>
      </c>
      <c r="AE423" s="39">
        <f>G423*0</f>
        <v>0</v>
      </c>
      <c r="AF423" s="39">
        <f>G423*(1-0)</f>
        <v>0</v>
      </c>
      <c r="AM423" s="39">
        <f>F423*AE423</f>
        <v>0</v>
      </c>
      <c r="AN423" s="39">
        <f>F423*AF423</f>
        <v>0</v>
      </c>
      <c r="AO423" s="40" t="s">
        <v>1585</v>
      </c>
      <c r="AP423" s="40" t="s">
        <v>1602</v>
      </c>
      <c r="AQ423" s="31" t="s">
        <v>1608</v>
      </c>
    </row>
    <row r="424" spans="1:37" ht="12.75">
      <c r="A424" s="4"/>
      <c r="B424" s="14" t="s">
        <v>589</v>
      </c>
      <c r="C424" s="14" t="s">
        <v>655</v>
      </c>
      <c r="D424" s="104" t="s">
        <v>1007</v>
      </c>
      <c r="E424" s="105"/>
      <c r="F424" s="105"/>
      <c r="G424" s="105"/>
      <c r="H424" s="42">
        <f>SUM(H425:H425)</f>
        <v>0</v>
      </c>
      <c r="I424" s="42">
        <f>SUM(I425:I425)</f>
        <v>0</v>
      </c>
      <c r="J424" s="42">
        <f>H424+I424</f>
        <v>0</v>
      </c>
      <c r="K424" s="31"/>
      <c r="L424" s="42">
        <f>SUM(L425:L425)</f>
        <v>0</v>
      </c>
      <c r="M424" s="31"/>
      <c r="P424" s="42">
        <f>IF(Q424="PR",J424,SUM(O425:O425))</f>
        <v>0</v>
      </c>
      <c r="Q424" s="31" t="s">
        <v>1529</v>
      </c>
      <c r="R424" s="42">
        <f>IF(Q424="HS",H424,0)</f>
        <v>0</v>
      </c>
      <c r="S424" s="42">
        <f>IF(Q424="HS",I424-P424,0)</f>
        <v>0</v>
      </c>
      <c r="T424" s="42">
        <f>IF(Q424="PS",H424,0)</f>
        <v>0</v>
      </c>
      <c r="U424" s="42">
        <f>IF(Q424="PS",I424-P424,0)</f>
        <v>0</v>
      </c>
      <c r="V424" s="42">
        <f>IF(Q424="MP",H424,0)</f>
        <v>0</v>
      </c>
      <c r="W424" s="42">
        <f>IF(Q424="MP",I424-P424,0)</f>
        <v>0</v>
      </c>
      <c r="X424" s="42">
        <f>IF(Q424="OM",H424,0)</f>
        <v>0</v>
      </c>
      <c r="Y424" s="31" t="s">
        <v>589</v>
      </c>
      <c r="AI424" s="42">
        <f>SUM(Z425:Z425)</f>
        <v>0</v>
      </c>
      <c r="AJ424" s="42">
        <f>SUM(AA425:AA425)</f>
        <v>0</v>
      </c>
      <c r="AK424" s="42">
        <f>SUM(AB425:AB425)</f>
        <v>0</v>
      </c>
    </row>
    <row r="425" spans="1:43" ht="12.75">
      <c r="A425" s="5" t="s">
        <v>240</v>
      </c>
      <c r="B425" s="5" t="s">
        <v>589</v>
      </c>
      <c r="C425" s="5" t="s">
        <v>836</v>
      </c>
      <c r="D425" s="5" t="s">
        <v>1289</v>
      </c>
      <c r="E425" s="5" t="s">
        <v>1499</v>
      </c>
      <c r="F425" s="22">
        <v>1</v>
      </c>
      <c r="G425" s="22">
        <v>0</v>
      </c>
      <c r="H425" s="22">
        <f>F425*AE425</f>
        <v>0</v>
      </c>
      <c r="I425" s="22">
        <f>J425-H425</f>
        <v>0</v>
      </c>
      <c r="J425" s="22">
        <f>F425*G425</f>
        <v>0</v>
      </c>
      <c r="K425" s="22">
        <v>0</v>
      </c>
      <c r="L425" s="22">
        <f>F425*K425</f>
        <v>0</v>
      </c>
      <c r="M425" s="35" t="s">
        <v>1523</v>
      </c>
      <c r="N425" s="35" t="s">
        <v>11</v>
      </c>
      <c r="O425" s="22">
        <f>IF(N425="5",I425,0)</f>
        <v>0</v>
      </c>
      <c r="Z425" s="22">
        <f>IF(AD425=0,J425,0)</f>
        <v>0</v>
      </c>
      <c r="AA425" s="22">
        <f>IF(AD425=15,J425,0)</f>
        <v>0</v>
      </c>
      <c r="AB425" s="22">
        <f>IF(AD425=21,J425,0)</f>
        <v>0</v>
      </c>
      <c r="AD425" s="39">
        <v>15</v>
      </c>
      <c r="AE425" s="39">
        <f>G425*0</f>
        <v>0</v>
      </c>
      <c r="AF425" s="39">
        <f>G425*(1-0)</f>
        <v>0</v>
      </c>
      <c r="AM425" s="39">
        <f>F425*AE425</f>
        <v>0</v>
      </c>
      <c r="AN425" s="39">
        <f>F425*AF425</f>
        <v>0</v>
      </c>
      <c r="AO425" s="40" t="s">
        <v>1557</v>
      </c>
      <c r="AP425" s="40" t="s">
        <v>1602</v>
      </c>
      <c r="AQ425" s="31" t="s">
        <v>1608</v>
      </c>
    </row>
    <row r="426" spans="1:37" ht="12.75">
      <c r="A426" s="4"/>
      <c r="B426" s="14" t="s">
        <v>589</v>
      </c>
      <c r="C426" s="14" t="s">
        <v>837</v>
      </c>
      <c r="D426" s="104" t="s">
        <v>1236</v>
      </c>
      <c r="E426" s="105"/>
      <c r="F426" s="105"/>
      <c r="G426" s="105"/>
      <c r="H426" s="42">
        <f>SUM(H427:H427)</f>
        <v>0</v>
      </c>
      <c r="I426" s="42">
        <f>SUM(I427:I427)</f>
        <v>0</v>
      </c>
      <c r="J426" s="42">
        <f>H426+I426</f>
        <v>0</v>
      </c>
      <c r="K426" s="31"/>
      <c r="L426" s="42">
        <f>SUM(L427:L427)</f>
        <v>0</v>
      </c>
      <c r="M426" s="31"/>
      <c r="P426" s="42">
        <f>IF(Q426="PR",J426,SUM(O427:O427))</f>
        <v>0</v>
      </c>
      <c r="Q426" s="31" t="s">
        <v>1529</v>
      </c>
      <c r="R426" s="42">
        <f>IF(Q426="HS",H426,0)</f>
        <v>0</v>
      </c>
      <c r="S426" s="42">
        <f>IF(Q426="HS",I426-P426,0)</f>
        <v>0</v>
      </c>
      <c r="T426" s="42">
        <f>IF(Q426="PS",H426,0)</f>
        <v>0</v>
      </c>
      <c r="U426" s="42">
        <f>IF(Q426="PS",I426-P426,0)</f>
        <v>0</v>
      </c>
      <c r="V426" s="42">
        <f>IF(Q426="MP",H426,0)</f>
        <v>0</v>
      </c>
      <c r="W426" s="42">
        <f>IF(Q426="MP",I426-P426,0)</f>
        <v>0</v>
      </c>
      <c r="X426" s="42">
        <f>IF(Q426="OM",H426,0)</f>
        <v>0</v>
      </c>
      <c r="Y426" s="31" t="s">
        <v>589</v>
      </c>
      <c r="AI426" s="42">
        <f>SUM(Z427:Z427)</f>
        <v>0</v>
      </c>
      <c r="AJ426" s="42">
        <f>SUM(AA427:AA427)</f>
        <v>0</v>
      </c>
      <c r="AK426" s="42">
        <f>SUM(AB427:AB427)</f>
        <v>0</v>
      </c>
    </row>
    <row r="427" spans="1:43" ht="12.75">
      <c r="A427" s="5" t="s">
        <v>241</v>
      </c>
      <c r="B427" s="5" t="s">
        <v>589</v>
      </c>
      <c r="C427" s="5" t="s">
        <v>838</v>
      </c>
      <c r="D427" s="5" t="s">
        <v>1290</v>
      </c>
      <c r="E427" s="5" t="s">
        <v>1499</v>
      </c>
      <c r="F427" s="22">
        <v>1</v>
      </c>
      <c r="G427" s="22">
        <v>0</v>
      </c>
      <c r="H427" s="22">
        <f>F427*AE427</f>
        <v>0</v>
      </c>
      <c r="I427" s="22">
        <f>J427-H427</f>
        <v>0</v>
      </c>
      <c r="J427" s="22">
        <f>F427*G427</f>
        <v>0</v>
      </c>
      <c r="K427" s="22">
        <v>0</v>
      </c>
      <c r="L427" s="22">
        <f>F427*K427</f>
        <v>0</v>
      </c>
      <c r="M427" s="35" t="s">
        <v>1523</v>
      </c>
      <c r="N427" s="35" t="s">
        <v>11</v>
      </c>
      <c r="O427" s="22">
        <f>IF(N427="5",I427,0)</f>
        <v>0</v>
      </c>
      <c r="Z427" s="22">
        <f>IF(AD427=0,J427,0)</f>
        <v>0</v>
      </c>
      <c r="AA427" s="22">
        <f>IF(AD427=15,J427,0)</f>
        <v>0</v>
      </c>
      <c r="AB427" s="22">
        <f>IF(AD427=21,J427,0)</f>
        <v>0</v>
      </c>
      <c r="AD427" s="39">
        <v>15</v>
      </c>
      <c r="AE427" s="39">
        <f>G427*0</f>
        <v>0</v>
      </c>
      <c r="AF427" s="39">
        <f>G427*(1-0)</f>
        <v>0</v>
      </c>
      <c r="AM427" s="39">
        <f>F427*AE427</f>
        <v>0</v>
      </c>
      <c r="AN427" s="39">
        <f>F427*AF427</f>
        <v>0</v>
      </c>
      <c r="AO427" s="40" t="s">
        <v>1586</v>
      </c>
      <c r="AP427" s="40" t="s">
        <v>1602</v>
      </c>
      <c r="AQ427" s="31" t="s">
        <v>1608</v>
      </c>
    </row>
    <row r="428" spans="1:37" ht="12.75">
      <c r="A428" s="4"/>
      <c r="B428" s="14" t="s">
        <v>589</v>
      </c>
      <c r="C428" s="14" t="s">
        <v>659</v>
      </c>
      <c r="D428" s="104" t="s">
        <v>1036</v>
      </c>
      <c r="E428" s="105"/>
      <c r="F428" s="105"/>
      <c r="G428" s="105"/>
      <c r="H428" s="42">
        <f>SUM(H429:H465)</f>
        <v>0</v>
      </c>
      <c r="I428" s="42">
        <f>SUM(I429:I465)</f>
        <v>0</v>
      </c>
      <c r="J428" s="42">
        <f>H428+I428</f>
        <v>0</v>
      </c>
      <c r="K428" s="31"/>
      <c r="L428" s="42">
        <f>SUM(L429:L465)</f>
        <v>0.28154999999999997</v>
      </c>
      <c r="M428" s="31"/>
      <c r="P428" s="42">
        <f>IF(Q428="PR",J428,SUM(O429:O465))</f>
        <v>0</v>
      </c>
      <c r="Q428" s="31" t="s">
        <v>1531</v>
      </c>
      <c r="R428" s="42">
        <f>IF(Q428="HS",H428,0)</f>
        <v>0</v>
      </c>
      <c r="S428" s="42">
        <f>IF(Q428="HS",I428-P428,0)</f>
        <v>0</v>
      </c>
      <c r="T428" s="42">
        <f>IF(Q428="PS",H428,0)</f>
        <v>0</v>
      </c>
      <c r="U428" s="42">
        <f>IF(Q428="PS",I428-P428,0)</f>
        <v>0</v>
      </c>
      <c r="V428" s="42">
        <f>IF(Q428="MP",H428,0)</f>
        <v>0</v>
      </c>
      <c r="W428" s="42">
        <f>IF(Q428="MP",I428-P428,0)</f>
        <v>0</v>
      </c>
      <c r="X428" s="42">
        <f>IF(Q428="OM",H428,0)</f>
        <v>0</v>
      </c>
      <c r="Y428" s="31" t="s">
        <v>589</v>
      </c>
      <c r="AI428" s="42">
        <f>SUM(Z429:Z465)</f>
        <v>0</v>
      </c>
      <c r="AJ428" s="42">
        <f>SUM(AA429:AA465)</f>
        <v>0</v>
      </c>
      <c r="AK428" s="42">
        <f>SUM(AB429:AB465)</f>
        <v>0</v>
      </c>
    </row>
    <row r="429" spans="1:43" ht="12.75">
      <c r="A429" s="6" t="s">
        <v>242</v>
      </c>
      <c r="B429" s="6" t="s">
        <v>589</v>
      </c>
      <c r="C429" s="6" t="s">
        <v>666</v>
      </c>
      <c r="D429" s="6" t="s">
        <v>1048</v>
      </c>
      <c r="E429" s="6" t="s">
        <v>1494</v>
      </c>
      <c r="F429" s="24">
        <v>30</v>
      </c>
      <c r="G429" s="24">
        <v>0</v>
      </c>
      <c r="H429" s="24">
        <f aca="true" t="shared" si="88" ref="H429:H465">F429*AE429</f>
        <v>0</v>
      </c>
      <c r="I429" s="24">
        <f aca="true" t="shared" si="89" ref="I429:I465">J429-H429</f>
        <v>0</v>
      </c>
      <c r="J429" s="24">
        <f aca="true" t="shared" si="90" ref="J429:J465">F429*G429</f>
        <v>0</v>
      </c>
      <c r="K429" s="24">
        <v>5E-05</v>
      </c>
      <c r="L429" s="24">
        <f aca="true" t="shared" si="91" ref="L429:L465">F429*K429</f>
        <v>0.0015</v>
      </c>
      <c r="M429" s="36" t="s">
        <v>1523</v>
      </c>
      <c r="N429" s="36" t="s">
        <v>1526</v>
      </c>
      <c r="O429" s="24">
        <f aca="true" t="shared" si="92" ref="O429:O465">IF(N429="5",I429,0)</f>
        <v>0</v>
      </c>
      <c r="Z429" s="24">
        <f aca="true" t="shared" si="93" ref="Z429:Z465">IF(AD429=0,J429,0)</f>
        <v>0</v>
      </c>
      <c r="AA429" s="24">
        <f aca="true" t="shared" si="94" ref="AA429:AA465">IF(AD429=15,J429,0)</f>
        <v>0</v>
      </c>
      <c r="AB429" s="24">
        <f aca="true" t="shared" si="95" ref="AB429:AB465">IF(AD429=21,J429,0)</f>
        <v>0</v>
      </c>
      <c r="AD429" s="39">
        <v>15</v>
      </c>
      <c r="AE429" s="39">
        <f aca="true" t="shared" si="96" ref="AE429:AE455">G429*1</f>
        <v>0</v>
      </c>
      <c r="AF429" s="39">
        <f aca="true" t="shared" si="97" ref="AF429:AF455">G429*(1-1)</f>
        <v>0</v>
      </c>
      <c r="AM429" s="39">
        <f aca="true" t="shared" si="98" ref="AM429:AM465">F429*AE429</f>
        <v>0</v>
      </c>
      <c r="AN429" s="39">
        <f aca="true" t="shared" si="99" ref="AN429:AN465">F429*AF429</f>
        <v>0</v>
      </c>
      <c r="AO429" s="40" t="s">
        <v>1559</v>
      </c>
      <c r="AP429" s="40" t="s">
        <v>1602</v>
      </c>
      <c r="AQ429" s="31" t="s">
        <v>1608</v>
      </c>
    </row>
    <row r="430" spans="1:43" ht="12.75">
      <c r="A430" s="6" t="s">
        <v>243</v>
      </c>
      <c r="B430" s="6" t="s">
        <v>589</v>
      </c>
      <c r="C430" s="6" t="s">
        <v>839</v>
      </c>
      <c r="D430" s="6" t="s">
        <v>1291</v>
      </c>
      <c r="E430" s="6" t="s">
        <v>1494</v>
      </c>
      <c r="F430" s="24">
        <v>21</v>
      </c>
      <c r="G430" s="24">
        <v>0</v>
      </c>
      <c r="H430" s="24">
        <f t="shared" si="88"/>
        <v>0</v>
      </c>
      <c r="I430" s="24">
        <f t="shared" si="89"/>
        <v>0</v>
      </c>
      <c r="J430" s="24">
        <f t="shared" si="90"/>
        <v>0</v>
      </c>
      <c r="K430" s="24">
        <v>4E-05</v>
      </c>
      <c r="L430" s="24">
        <f t="shared" si="91"/>
        <v>0.00084</v>
      </c>
      <c r="M430" s="36" t="s">
        <v>1523</v>
      </c>
      <c r="N430" s="36" t="s">
        <v>1526</v>
      </c>
      <c r="O430" s="24">
        <f t="shared" si="92"/>
        <v>0</v>
      </c>
      <c r="Z430" s="24">
        <f t="shared" si="93"/>
        <v>0</v>
      </c>
      <c r="AA430" s="24">
        <f t="shared" si="94"/>
        <v>0</v>
      </c>
      <c r="AB430" s="24">
        <f t="shared" si="95"/>
        <v>0</v>
      </c>
      <c r="AD430" s="39">
        <v>15</v>
      </c>
      <c r="AE430" s="39">
        <f t="shared" si="96"/>
        <v>0</v>
      </c>
      <c r="AF430" s="39">
        <f t="shared" si="97"/>
        <v>0</v>
      </c>
      <c r="AM430" s="39">
        <f t="shared" si="98"/>
        <v>0</v>
      </c>
      <c r="AN430" s="39">
        <f t="shared" si="99"/>
        <v>0</v>
      </c>
      <c r="AO430" s="40" t="s">
        <v>1559</v>
      </c>
      <c r="AP430" s="40" t="s">
        <v>1602</v>
      </c>
      <c r="AQ430" s="31" t="s">
        <v>1608</v>
      </c>
    </row>
    <row r="431" spans="1:43" ht="12.75">
      <c r="A431" s="6" t="s">
        <v>244</v>
      </c>
      <c r="B431" s="6" t="s">
        <v>589</v>
      </c>
      <c r="C431" s="6" t="s">
        <v>667</v>
      </c>
      <c r="D431" s="6" t="s">
        <v>1049</v>
      </c>
      <c r="E431" s="6" t="s">
        <v>1494</v>
      </c>
      <c r="F431" s="24">
        <v>9</v>
      </c>
      <c r="G431" s="24">
        <v>0</v>
      </c>
      <c r="H431" s="24">
        <f t="shared" si="88"/>
        <v>0</v>
      </c>
      <c r="I431" s="24">
        <f t="shared" si="89"/>
        <v>0</v>
      </c>
      <c r="J431" s="24">
        <f t="shared" si="90"/>
        <v>0</v>
      </c>
      <c r="K431" s="24">
        <v>1E-05</v>
      </c>
      <c r="L431" s="24">
        <f t="shared" si="91"/>
        <v>9E-05</v>
      </c>
      <c r="M431" s="36" t="s">
        <v>1523</v>
      </c>
      <c r="N431" s="36" t="s">
        <v>1526</v>
      </c>
      <c r="O431" s="24">
        <f t="shared" si="92"/>
        <v>0</v>
      </c>
      <c r="Z431" s="24">
        <f t="shared" si="93"/>
        <v>0</v>
      </c>
      <c r="AA431" s="24">
        <f t="shared" si="94"/>
        <v>0</v>
      </c>
      <c r="AB431" s="24">
        <f t="shared" si="95"/>
        <v>0</v>
      </c>
      <c r="AD431" s="39">
        <v>15</v>
      </c>
      <c r="AE431" s="39">
        <f t="shared" si="96"/>
        <v>0</v>
      </c>
      <c r="AF431" s="39">
        <f t="shared" si="97"/>
        <v>0</v>
      </c>
      <c r="AM431" s="39">
        <f t="shared" si="98"/>
        <v>0</v>
      </c>
      <c r="AN431" s="39">
        <f t="shared" si="99"/>
        <v>0</v>
      </c>
      <c r="AO431" s="40" t="s">
        <v>1559</v>
      </c>
      <c r="AP431" s="40" t="s">
        <v>1602</v>
      </c>
      <c r="AQ431" s="31" t="s">
        <v>1608</v>
      </c>
    </row>
    <row r="432" spans="1:43" ht="12.75">
      <c r="A432" s="6" t="s">
        <v>245</v>
      </c>
      <c r="B432" s="6" t="s">
        <v>589</v>
      </c>
      <c r="C432" s="6" t="s">
        <v>668</v>
      </c>
      <c r="D432" s="6" t="s">
        <v>1050</v>
      </c>
      <c r="E432" s="6" t="s">
        <v>1494</v>
      </c>
      <c r="F432" s="24">
        <v>28</v>
      </c>
      <c r="G432" s="24">
        <v>0</v>
      </c>
      <c r="H432" s="24">
        <f t="shared" si="88"/>
        <v>0</v>
      </c>
      <c r="I432" s="24">
        <f t="shared" si="89"/>
        <v>0</v>
      </c>
      <c r="J432" s="24">
        <f t="shared" si="90"/>
        <v>0</v>
      </c>
      <c r="K432" s="24">
        <v>0</v>
      </c>
      <c r="L432" s="24">
        <f t="shared" si="91"/>
        <v>0</v>
      </c>
      <c r="M432" s="36" t="s">
        <v>1523</v>
      </c>
      <c r="N432" s="36" t="s">
        <v>1526</v>
      </c>
      <c r="O432" s="24">
        <f t="shared" si="92"/>
        <v>0</v>
      </c>
      <c r="Z432" s="24">
        <f t="shared" si="93"/>
        <v>0</v>
      </c>
      <c r="AA432" s="24">
        <f t="shared" si="94"/>
        <v>0</v>
      </c>
      <c r="AB432" s="24">
        <f t="shared" si="95"/>
        <v>0</v>
      </c>
      <c r="AD432" s="39">
        <v>15</v>
      </c>
      <c r="AE432" s="39">
        <f t="shared" si="96"/>
        <v>0</v>
      </c>
      <c r="AF432" s="39">
        <f t="shared" si="97"/>
        <v>0</v>
      </c>
      <c r="AM432" s="39">
        <f t="shared" si="98"/>
        <v>0</v>
      </c>
      <c r="AN432" s="39">
        <f t="shared" si="99"/>
        <v>0</v>
      </c>
      <c r="AO432" s="40" t="s">
        <v>1559</v>
      </c>
      <c r="AP432" s="40" t="s">
        <v>1602</v>
      </c>
      <c r="AQ432" s="31" t="s">
        <v>1608</v>
      </c>
    </row>
    <row r="433" spans="1:43" ht="12.75">
      <c r="A433" s="6" t="s">
        <v>246</v>
      </c>
      <c r="B433" s="6" t="s">
        <v>589</v>
      </c>
      <c r="C433" s="6" t="s">
        <v>669</v>
      </c>
      <c r="D433" s="6" t="s">
        <v>1051</v>
      </c>
      <c r="E433" s="6" t="s">
        <v>1494</v>
      </c>
      <c r="F433" s="24">
        <v>6</v>
      </c>
      <c r="G433" s="24">
        <v>0</v>
      </c>
      <c r="H433" s="24">
        <f t="shared" si="88"/>
        <v>0</v>
      </c>
      <c r="I433" s="24">
        <f t="shared" si="89"/>
        <v>0</v>
      </c>
      <c r="J433" s="24">
        <f t="shared" si="90"/>
        <v>0</v>
      </c>
      <c r="K433" s="24">
        <v>1E-05</v>
      </c>
      <c r="L433" s="24">
        <f t="shared" si="91"/>
        <v>6.000000000000001E-05</v>
      </c>
      <c r="M433" s="36" t="s">
        <v>1523</v>
      </c>
      <c r="N433" s="36" t="s">
        <v>1526</v>
      </c>
      <c r="O433" s="24">
        <f t="shared" si="92"/>
        <v>0</v>
      </c>
      <c r="Z433" s="24">
        <f t="shared" si="93"/>
        <v>0</v>
      </c>
      <c r="AA433" s="24">
        <f t="shared" si="94"/>
        <v>0</v>
      </c>
      <c r="AB433" s="24">
        <f t="shared" si="95"/>
        <v>0</v>
      </c>
      <c r="AD433" s="39">
        <v>15</v>
      </c>
      <c r="AE433" s="39">
        <f t="shared" si="96"/>
        <v>0</v>
      </c>
      <c r="AF433" s="39">
        <f t="shared" si="97"/>
        <v>0</v>
      </c>
      <c r="AM433" s="39">
        <f t="shared" si="98"/>
        <v>0</v>
      </c>
      <c r="AN433" s="39">
        <f t="shared" si="99"/>
        <v>0</v>
      </c>
      <c r="AO433" s="40" t="s">
        <v>1559</v>
      </c>
      <c r="AP433" s="40" t="s">
        <v>1602</v>
      </c>
      <c r="AQ433" s="31" t="s">
        <v>1608</v>
      </c>
    </row>
    <row r="434" spans="1:43" ht="12.75">
      <c r="A434" s="6" t="s">
        <v>247</v>
      </c>
      <c r="B434" s="6" t="s">
        <v>589</v>
      </c>
      <c r="C434" s="6" t="s">
        <v>670</v>
      </c>
      <c r="D434" s="6" t="s">
        <v>1052</v>
      </c>
      <c r="E434" s="6" t="s">
        <v>1494</v>
      </c>
      <c r="F434" s="24">
        <v>18</v>
      </c>
      <c r="G434" s="24">
        <v>0</v>
      </c>
      <c r="H434" s="24">
        <f t="shared" si="88"/>
        <v>0</v>
      </c>
      <c r="I434" s="24">
        <f t="shared" si="89"/>
        <v>0</v>
      </c>
      <c r="J434" s="24">
        <f t="shared" si="90"/>
        <v>0</v>
      </c>
      <c r="K434" s="24">
        <v>5E-05</v>
      </c>
      <c r="L434" s="24">
        <f t="shared" si="91"/>
        <v>0.0009000000000000001</v>
      </c>
      <c r="M434" s="36" t="s">
        <v>1523</v>
      </c>
      <c r="N434" s="36" t="s">
        <v>1526</v>
      </c>
      <c r="O434" s="24">
        <f t="shared" si="92"/>
        <v>0</v>
      </c>
      <c r="Z434" s="24">
        <f t="shared" si="93"/>
        <v>0</v>
      </c>
      <c r="AA434" s="24">
        <f t="shared" si="94"/>
        <v>0</v>
      </c>
      <c r="AB434" s="24">
        <f t="shared" si="95"/>
        <v>0</v>
      </c>
      <c r="AD434" s="39">
        <v>15</v>
      </c>
      <c r="AE434" s="39">
        <f t="shared" si="96"/>
        <v>0</v>
      </c>
      <c r="AF434" s="39">
        <f t="shared" si="97"/>
        <v>0</v>
      </c>
      <c r="AM434" s="39">
        <f t="shared" si="98"/>
        <v>0</v>
      </c>
      <c r="AN434" s="39">
        <f t="shared" si="99"/>
        <v>0</v>
      </c>
      <c r="AO434" s="40" t="s">
        <v>1559</v>
      </c>
      <c r="AP434" s="40" t="s">
        <v>1602</v>
      </c>
      <c r="AQ434" s="31" t="s">
        <v>1608</v>
      </c>
    </row>
    <row r="435" spans="1:43" ht="12.75">
      <c r="A435" s="6" t="s">
        <v>248</v>
      </c>
      <c r="B435" s="6" t="s">
        <v>589</v>
      </c>
      <c r="C435" s="6" t="s">
        <v>840</v>
      </c>
      <c r="D435" s="6" t="s">
        <v>1292</v>
      </c>
      <c r="E435" s="6" t="s">
        <v>1494</v>
      </c>
      <c r="F435" s="24">
        <v>3</v>
      </c>
      <c r="G435" s="24">
        <v>0</v>
      </c>
      <c r="H435" s="24">
        <f t="shared" si="88"/>
        <v>0</v>
      </c>
      <c r="I435" s="24">
        <f t="shared" si="89"/>
        <v>0</v>
      </c>
      <c r="J435" s="24">
        <f t="shared" si="90"/>
        <v>0</v>
      </c>
      <c r="K435" s="24">
        <v>6E-05</v>
      </c>
      <c r="L435" s="24">
        <f t="shared" si="91"/>
        <v>0.00018</v>
      </c>
      <c r="M435" s="36" t="s">
        <v>1523</v>
      </c>
      <c r="N435" s="36" t="s">
        <v>1526</v>
      </c>
      <c r="O435" s="24">
        <f t="shared" si="92"/>
        <v>0</v>
      </c>
      <c r="Z435" s="24">
        <f t="shared" si="93"/>
        <v>0</v>
      </c>
      <c r="AA435" s="24">
        <f t="shared" si="94"/>
        <v>0</v>
      </c>
      <c r="AB435" s="24">
        <f t="shared" si="95"/>
        <v>0</v>
      </c>
      <c r="AD435" s="39">
        <v>15</v>
      </c>
      <c r="AE435" s="39">
        <f t="shared" si="96"/>
        <v>0</v>
      </c>
      <c r="AF435" s="39">
        <f t="shared" si="97"/>
        <v>0</v>
      </c>
      <c r="AM435" s="39">
        <f t="shared" si="98"/>
        <v>0</v>
      </c>
      <c r="AN435" s="39">
        <f t="shared" si="99"/>
        <v>0</v>
      </c>
      <c r="AO435" s="40" t="s">
        <v>1559</v>
      </c>
      <c r="AP435" s="40" t="s">
        <v>1602</v>
      </c>
      <c r="AQ435" s="31" t="s">
        <v>1608</v>
      </c>
    </row>
    <row r="436" spans="1:43" ht="12.75">
      <c r="A436" s="6" t="s">
        <v>249</v>
      </c>
      <c r="B436" s="6" t="s">
        <v>589</v>
      </c>
      <c r="C436" s="6" t="s">
        <v>671</v>
      </c>
      <c r="D436" s="6" t="s">
        <v>1053</v>
      </c>
      <c r="E436" s="6" t="s">
        <v>1494</v>
      </c>
      <c r="F436" s="24">
        <v>78</v>
      </c>
      <c r="G436" s="24">
        <v>0</v>
      </c>
      <c r="H436" s="24">
        <f t="shared" si="88"/>
        <v>0</v>
      </c>
      <c r="I436" s="24">
        <f t="shared" si="89"/>
        <v>0</v>
      </c>
      <c r="J436" s="24">
        <f t="shared" si="90"/>
        <v>0</v>
      </c>
      <c r="K436" s="24">
        <v>2E-05</v>
      </c>
      <c r="L436" s="24">
        <f t="shared" si="91"/>
        <v>0.0015600000000000002</v>
      </c>
      <c r="M436" s="36" t="s">
        <v>1523</v>
      </c>
      <c r="N436" s="36" t="s">
        <v>1526</v>
      </c>
      <c r="O436" s="24">
        <f t="shared" si="92"/>
        <v>0</v>
      </c>
      <c r="Z436" s="24">
        <f t="shared" si="93"/>
        <v>0</v>
      </c>
      <c r="AA436" s="24">
        <f t="shared" si="94"/>
        <v>0</v>
      </c>
      <c r="AB436" s="24">
        <f t="shared" si="95"/>
        <v>0</v>
      </c>
      <c r="AD436" s="39">
        <v>15</v>
      </c>
      <c r="AE436" s="39">
        <f t="shared" si="96"/>
        <v>0</v>
      </c>
      <c r="AF436" s="39">
        <f t="shared" si="97"/>
        <v>0</v>
      </c>
      <c r="AM436" s="39">
        <f t="shared" si="98"/>
        <v>0</v>
      </c>
      <c r="AN436" s="39">
        <f t="shared" si="99"/>
        <v>0</v>
      </c>
      <c r="AO436" s="40" t="s">
        <v>1559</v>
      </c>
      <c r="AP436" s="40" t="s">
        <v>1602</v>
      </c>
      <c r="AQ436" s="31" t="s">
        <v>1608</v>
      </c>
    </row>
    <row r="437" spans="1:43" ht="12.75">
      <c r="A437" s="5" t="s">
        <v>250</v>
      </c>
      <c r="B437" s="5" t="s">
        <v>589</v>
      </c>
      <c r="C437" s="5" t="s">
        <v>841</v>
      </c>
      <c r="D437" s="5" t="s">
        <v>1293</v>
      </c>
      <c r="E437" s="5" t="s">
        <v>1494</v>
      </c>
      <c r="F437" s="22">
        <v>3</v>
      </c>
      <c r="G437" s="22">
        <v>0</v>
      </c>
      <c r="H437" s="22">
        <f t="shared" si="88"/>
        <v>0</v>
      </c>
      <c r="I437" s="22">
        <f t="shared" si="89"/>
        <v>0</v>
      </c>
      <c r="J437" s="22">
        <f t="shared" si="90"/>
        <v>0</v>
      </c>
      <c r="K437" s="22">
        <v>0</v>
      </c>
      <c r="L437" s="22">
        <f t="shared" si="91"/>
        <v>0</v>
      </c>
      <c r="M437" s="35" t="s">
        <v>1523</v>
      </c>
      <c r="N437" s="35" t="s">
        <v>8</v>
      </c>
      <c r="O437" s="22">
        <f t="shared" si="92"/>
        <v>0</v>
      </c>
      <c r="Z437" s="22">
        <f t="shared" si="93"/>
        <v>0</v>
      </c>
      <c r="AA437" s="22">
        <f t="shared" si="94"/>
        <v>0</v>
      </c>
      <c r="AB437" s="22">
        <f t="shared" si="95"/>
        <v>0</v>
      </c>
      <c r="AD437" s="39">
        <v>15</v>
      </c>
      <c r="AE437" s="39">
        <f t="shared" si="96"/>
        <v>0</v>
      </c>
      <c r="AF437" s="39">
        <f t="shared" si="97"/>
        <v>0</v>
      </c>
      <c r="AM437" s="39">
        <f t="shared" si="98"/>
        <v>0</v>
      </c>
      <c r="AN437" s="39">
        <f t="shared" si="99"/>
        <v>0</v>
      </c>
      <c r="AO437" s="40" t="s">
        <v>1559</v>
      </c>
      <c r="AP437" s="40" t="s">
        <v>1602</v>
      </c>
      <c r="AQ437" s="31" t="s">
        <v>1608</v>
      </c>
    </row>
    <row r="438" spans="1:43" ht="12.75">
      <c r="A438" s="5" t="s">
        <v>251</v>
      </c>
      <c r="B438" s="5" t="s">
        <v>589</v>
      </c>
      <c r="C438" s="5" t="s">
        <v>660</v>
      </c>
      <c r="D438" s="5" t="s">
        <v>1037</v>
      </c>
      <c r="E438" s="5" t="s">
        <v>1495</v>
      </c>
      <c r="F438" s="22">
        <v>45</v>
      </c>
      <c r="G438" s="22">
        <v>0</v>
      </c>
      <c r="H438" s="22">
        <f t="shared" si="88"/>
        <v>0</v>
      </c>
      <c r="I438" s="22">
        <f t="shared" si="89"/>
        <v>0</v>
      </c>
      <c r="J438" s="22">
        <f t="shared" si="90"/>
        <v>0</v>
      </c>
      <c r="K438" s="22">
        <v>0</v>
      </c>
      <c r="L438" s="22">
        <f t="shared" si="91"/>
        <v>0</v>
      </c>
      <c r="M438" s="35" t="s">
        <v>1523</v>
      </c>
      <c r="N438" s="35" t="s">
        <v>8</v>
      </c>
      <c r="O438" s="22">
        <f t="shared" si="92"/>
        <v>0</v>
      </c>
      <c r="Z438" s="22">
        <f t="shared" si="93"/>
        <v>0</v>
      </c>
      <c r="AA438" s="22">
        <f t="shared" si="94"/>
        <v>0</v>
      </c>
      <c r="AB438" s="22">
        <f t="shared" si="95"/>
        <v>0</v>
      </c>
      <c r="AD438" s="39">
        <v>15</v>
      </c>
      <c r="AE438" s="39">
        <f t="shared" si="96"/>
        <v>0</v>
      </c>
      <c r="AF438" s="39">
        <f t="shared" si="97"/>
        <v>0</v>
      </c>
      <c r="AM438" s="39">
        <f t="shared" si="98"/>
        <v>0</v>
      </c>
      <c r="AN438" s="39">
        <f t="shared" si="99"/>
        <v>0</v>
      </c>
      <c r="AO438" s="40" t="s">
        <v>1559</v>
      </c>
      <c r="AP438" s="40" t="s">
        <v>1602</v>
      </c>
      <c r="AQ438" s="31" t="s">
        <v>1608</v>
      </c>
    </row>
    <row r="439" spans="1:43" ht="12.75">
      <c r="A439" s="5" t="s">
        <v>252</v>
      </c>
      <c r="B439" s="5" t="s">
        <v>589</v>
      </c>
      <c r="C439" s="5" t="s">
        <v>842</v>
      </c>
      <c r="D439" s="5" t="s">
        <v>1294</v>
      </c>
      <c r="E439" s="5" t="s">
        <v>1495</v>
      </c>
      <c r="F439" s="22">
        <v>30</v>
      </c>
      <c r="G439" s="22">
        <v>0</v>
      </c>
      <c r="H439" s="22">
        <f t="shared" si="88"/>
        <v>0</v>
      </c>
      <c r="I439" s="22">
        <f t="shared" si="89"/>
        <v>0</v>
      </c>
      <c r="J439" s="22">
        <f t="shared" si="90"/>
        <v>0</v>
      </c>
      <c r="K439" s="22">
        <v>0</v>
      </c>
      <c r="L439" s="22">
        <f t="shared" si="91"/>
        <v>0</v>
      </c>
      <c r="M439" s="35" t="s">
        <v>1523</v>
      </c>
      <c r="N439" s="35" t="s">
        <v>8</v>
      </c>
      <c r="O439" s="22">
        <f t="shared" si="92"/>
        <v>0</v>
      </c>
      <c r="Z439" s="22">
        <f t="shared" si="93"/>
        <v>0</v>
      </c>
      <c r="AA439" s="22">
        <f t="shared" si="94"/>
        <v>0</v>
      </c>
      <c r="AB439" s="22">
        <f t="shared" si="95"/>
        <v>0</v>
      </c>
      <c r="AD439" s="39">
        <v>15</v>
      </c>
      <c r="AE439" s="39">
        <f t="shared" si="96"/>
        <v>0</v>
      </c>
      <c r="AF439" s="39">
        <f t="shared" si="97"/>
        <v>0</v>
      </c>
      <c r="AM439" s="39">
        <f t="shared" si="98"/>
        <v>0</v>
      </c>
      <c r="AN439" s="39">
        <f t="shared" si="99"/>
        <v>0</v>
      </c>
      <c r="AO439" s="40" t="s">
        <v>1559</v>
      </c>
      <c r="AP439" s="40" t="s">
        <v>1602</v>
      </c>
      <c r="AQ439" s="31" t="s">
        <v>1608</v>
      </c>
    </row>
    <row r="440" spans="1:43" ht="12.75">
      <c r="A440" s="5" t="s">
        <v>253</v>
      </c>
      <c r="B440" s="5" t="s">
        <v>589</v>
      </c>
      <c r="C440" s="5" t="s">
        <v>843</v>
      </c>
      <c r="D440" s="5" t="s">
        <v>1295</v>
      </c>
      <c r="E440" s="5" t="s">
        <v>1495</v>
      </c>
      <c r="F440" s="22">
        <v>18</v>
      </c>
      <c r="G440" s="22">
        <v>0</v>
      </c>
      <c r="H440" s="22">
        <f t="shared" si="88"/>
        <v>0</v>
      </c>
      <c r="I440" s="22">
        <f t="shared" si="89"/>
        <v>0</v>
      </c>
      <c r="J440" s="22">
        <f t="shared" si="90"/>
        <v>0</v>
      </c>
      <c r="K440" s="22">
        <v>0</v>
      </c>
      <c r="L440" s="22">
        <f t="shared" si="91"/>
        <v>0</v>
      </c>
      <c r="M440" s="35" t="s">
        <v>1523</v>
      </c>
      <c r="N440" s="35" t="s">
        <v>8</v>
      </c>
      <c r="O440" s="22">
        <f t="shared" si="92"/>
        <v>0</v>
      </c>
      <c r="Z440" s="22">
        <f t="shared" si="93"/>
        <v>0</v>
      </c>
      <c r="AA440" s="22">
        <f t="shared" si="94"/>
        <v>0</v>
      </c>
      <c r="AB440" s="22">
        <f t="shared" si="95"/>
        <v>0</v>
      </c>
      <c r="AD440" s="39">
        <v>15</v>
      </c>
      <c r="AE440" s="39">
        <f t="shared" si="96"/>
        <v>0</v>
      </c>
      <c r="AF440" s="39">
        <f t="shared" si="97"/>
        <v>0</v>
      </c>
      <c r="AM440" s="39">
        <f t="shared" si="98"/>
        <v>0</v>
      </c>
      <c r="AN440" s="39">
        <f t="shared" si="99"/>
        <v>0</v>
      </c>
      <c r="AO440" s="40" t="s">
        <v>1559</v>
      </c>
      <c r="AP440" s="40" t="s">
        <v>1602</v>
      </c>
      <c r="AQ440" s="31" t="s">
        <v>1608</v>
      </c>
    </row>
    <row r="441" spans="1:43" ht="12.75">
      <c r="A441" s="6" t="s">
        <v>254</v>
      </c>
      <c r="B441" s="6" t="s">
        <v>589</v>
      </c>
      <c r="C441" s="6" t="s">
        <v>672</v>
      </c>
      <c r="D441" s="6" t="s">
        <v>1054</v>
      </c>
      <c r="E441" s="6" t="s">
        <v>1495</v>
      </c>
      <c r="F441" s="24">
        <v>150</v>
      </c>
      <c r="G441" s="24">
        <v>0</v>
      </c>
      <c r="H441" s="24">
        <f t="shared" si="88"/>
        <v>0</v>
      </c>
      <c r="I441" s="24">
        <f t="shared" si="89"/>
        <v>0</v>
      </c>
      <c r="J441" s="24">
        <f t="shared" si="90"/>
        <v>0</v>
      </c>
      <c r="K441" s="24">
        <v>0.00016</v>
      </c>
      <c r="L441" s="24">
        <f t="shared" si="91"/>
        <v>0.024</v>
      </c>
      <c r="M441" s="36" t="s">
        <v>1523</v>
      </c>
      <c r="N441" s="36" t="s">
        <v>1526</v>
      </c>
      <c r="O441" s="24">
        <f t="shared" si="92"/>
        <v>0</v>
      </c>
      <c r="Z441" s="24">
        <f t="shared" si="93"/>
        <v>0</v>
      </c>
      <c r="AA441" s="24">
        <f t="shared" si="94"/>
        <v>0</v>
      </c>
      <c r="AB441" s="24">
        <f t="shared" si="95"/>
        <v>0</v>
      </c>
      <c r="AD441" s="39">
        <v>15</v>
      </c>
      <c r="AE441" s="39">
        <f t="shared" si="96"/>
        <v>0</v>
      </c>
      <c r="AF441" s="39">
        <f t="shared" si="97"/>
        <v>0</v>
      </c>
      <c r="AM441" s="39">
        <f t="shared" si="98"/>
        <v>0</v>
      </c>
      <c r="AN441" s="39">
        <f t="shared" si="99"/>
        <v>0</v>
      </c>
      <c r="AO441" s="40" t="s">
        <v>1559</v>
      </c>
      <c r="AP441" s="40" t="s">
        <v>1602</v>
      </c>
      <c r="AQ441" s="31" t="s">
        <v>1608</v>
      </c>
    </row>
    <row r="442" spans="1:43" ht="12.75">
      <c r="A442" s="6" t="s">
        <v>255</v>
      </c>
      <c r="B442" s="6" t="s">
        <v>589</v>
      </c>
      <c r="C442" s="6" t="s">
        <v>673</v>
      </c>
      <c r="D442" s="6" t="s">
        <v>1055</v>
      </c>
      <c r="E442" s="6" t="s">
        <v>1495</v>
      </c>
      <c r="F442" s="24">
        <v>150</v>
      </c>
      <c r="G442" s="24">
        <v>0</v>
      </c>
      <c r="H442" s="24">
        <f t="shared" si="88"/>
        <v>0</v>
      </c>
      <c r="I442" s="24">
        <f t="shared" si="89"/>
        <v>0</v>
      </c>
      <c r="J442" s="24">
        <f t="shared" si="90"/>
        <v>0</v>
      </c>
      <c r="K442" s="24">
        <v>0.00015</v>
      </c>
      <c r="L442" s="24">
        <f t="shared" si="91"/>
        <v>0.0225</v>
      </c>
      <c r="M442" s="36" t="s">
        <v>1523</v>
      </c>
      <c r="N442" s="36" t="s">
        <v>1526</v>
      </c>
      <c r="O442" s="24">
        <f t="shared" si="92"/>
        <v>0</v>
      </c>
      <c r="Z442" s="24">
        <f t="shared" si="93"/>
        <v>0</v>
      </c>
      <c r="AA442" s="24">
        <f t="shared" si="94"/>
        <v>0</v>
      </c>
      <c r="AB442" s="24">
        <f t="shared" si="95"/>
        <v>0</v>
      </c>
      <c r="AD442" s="39">
        <v>15</v>
      </c>
      <c r="AE442" s="39">
        <f t="shared" si="96"/>
        <v>0</v>
      </c>
      <c r="AF442" s="39">
        <f t="shared" si="97"/>
        <v>0</v>
      </c>
      <c r="AM442" s="39">
        <f t="shared" si="98"/>
        <v>0</v>
      </c>
      <c r="AN442" s="39">
        <f t="shared" si="99"/>
        <v>0</v>
      </c>
      <c r="AO442" s="40" t="s">
        <v>1559</v>
      </c>
      <c r="AP442" s="40" t="s">
        <v>1602</v>
      </c>
      <c r="AQ442" s="31" t="s">
        <v>1608</v>
      </c>
    </row>
    <row r="443" spans="1:43" ht="12.75">
      <c r="A443" s="6" t="s">
        <v>256</v>
      </c>
      <c r="B443" s="6" t="s">
        <v>589</v>
      </c>
      <c r="C443" s="6" t="s">
        <v>674</v>
      </c>
      <c r="D443" s="6" t="s">
        <v>1056</v>
      </c>
      <c r="E443" s="6" t="s">
        <v>1495</v>
      </c>
      <c r="F443" s="24">
        <v>240</v>
      </c>
      <c r="G443" s="24">
        <v>0</v>
      </c>
      <c r="H443" s="24">
        <f t="shared" si="88"/>
        <v>0</v>
      </c>
      <c r="I443" s="24">
        <f t="shared" si="89"/>
        <v>0</v>
      </c>
      <c r="J443" s="24">
        <f t="shared" si="90"/>
        <v>0</v>
      </c>
      <c r="K443" s="24">
        <v>0.00022</v>
      </c>
      <c r="L443" s="24">
        <f t="shared" si="91"/>
        <v>0.0528</v>
      </c>
      <c r="M443" s="36" t="s">
        <v>1523</v>
      </c>
      <c r="N443" s="36" t="s">
        <v>1526</v>
      </c>
      <c r="O443" s="24">
        <f t="shared" si="92"/>
        <v>0</v>
      </c>
      <c r="Z443" s="24">
        <f t="shared" si="93"/>
        <v>0</v>
      </c>
      <c r="AA443" s="24">
        <f t="shared" si="94"/>
        <v>0</v>
      </c>
      <c r="AB443" s="24">
        <f t="shared" si="95"/>
        <v>0</v>
      </c>
      <c r="AD443" s="39">
        <v>15</v>
      </c>
      <c r="AE443" s="39">
        <f t="shared" si="96"/>
        <v>0</v>
      </c>
      <c r="AF443" s="39">
        <f t="shared" si="97"/>
        <v>0</v>
      </c>
      <c r="AM443" s="39">
        <f t="shared" si="98"/>
        <v>0</v>
      </c>
      <c r="AN443" s="39">
        <f t="shared" si="99"/>
        <v>0</v>
      </c>
      <c r="AO443" s="40" t="s">
        <v>1559</v>
      </c>
      <c r="AP443" s="40" t="s">
        <v>1602</v>
      </c>
      <c r="AQ443" s="31" t="s">
        <v>1608</v>
      </c>
    </row>
    <row r="444" spans="1:43" ht="12.75">
      <c r="A444" s="6" t="s">
        <v>257</v>
      </c>
      <c r="B444" s="6" t="s">
        <v>589</v>
      </c>
      <c r="C444" s="6" t="s">
        <v>677</v>
      </c>
      <c r="D444" s="6" t="s">
        <v>1296</v>
      </c>
      <c r="E444" s="6" t="s">
        <v>1495</v>
      </c>
      <c r="F444" s="24">
        <v>60</v>
      </c>
      <c r="G444" s="24">
        <v>0</v>
      </c>
      <c r="H444" s="24">
        <f t="shared" si="88"/>
        <v>0</v>
      </c>
      <c r="I444" s="24">
        <f t="shared" si="89"/>
        <v>0</v>
      </c>
      <c r="J444" s="24">
        <f t="shared" si="90"/>
        <v>0</v>
      </c>
      <c r="K444" s="24">
        <v>0.00018</v>
      </c>
      <c r="L444" s="24">
        <f t="shared" si="91"/>
        <v>0.0108</v>
      </c>
      <c r="M444" s="36" t="s">
        <v>1523</v>
      </c>
      <c r="N444" s="36" t="s">
        <v>1526</v>
      </c>
      <c r="O444" s="24">
        <f t="shared" si="92"/>
        <v>0</v>
      </c>
      <c r="Z444" s="24">
        <f t="shared" si="93"/>
        <v>0</v>
      </c>
      <c r="AA444" s="24">
        <f t="shared" si="94"/>
        <v>0</v>
      </c>
      <c r="AB444" s="24">
        <f t="shared" si="95"/>
        <v>0</v>
      </c>
      <c r="AD444" s="39">
        <v>15</v>
      </c>
      <c r="AE444" s="39">
        <f t="shared" si="96"/>
        <v>0</v>
      </c>
      <c r="AF444" s="39">
        <f t="shared" si="97"/>
        <v>0</v>
      </c>
      <c r="AM444" s="39">
        <f t="shared" si="98"/>
        <v>0</v>
      </c>
      <c r="AN444" s="39">
        <f t="shared" si="99"/>
        <v>0</v>
      </c>
      <c r="AO444" s="40" t="s">
        <v>1559</v>
      </c>
      <c r="AP444" s="40" t="s">
        <v>1602</v>
      </c>
      <c r="AQ444" s="31" t="s">
        <v>1608</v>
      </c>
    </row>
    <row r="445" spans="1:43" ht="12.75">
      <c r="A445" s="6" t="s">
        <v>258</v>
      </c>
      <c r="B445" s="6" t="s">
        <v>589</v>
      </c>
      <c r="C445" s="6" t="s">
        <v>844</v>
      </c>
      <c r="D445" s="6" t="s">
        <v>1297</v>
      </c>
      <c r="E445" s="6" t="s">
        <v>1495</v>
      </c>
      <c r="F445" s="24">
        <v>45</v>
      </c>
      <c r="G445" s="24">
        <v>0</v>
      </c>
      <c r="H445" s="24">
        <f t="shared" si="88"/>
        <v>0</v>
      </c>
      <c r="I445" s="24">
        <f t="shared" si="89"/>
        <v>0</v>
      </c>
      <c r="J445" s="24">
        <f t="shared" si="90"/>
        <v>0</v>
      </c>
      <c r="K445" s="24">
        <v>0.00061</v>
      </c>
      <c r="L445" s="24">
        <f t="shared" si="91"/>
        <v>0.02745</v>
      </c>
      <c r="M445" s="36" t="s">
        <v>1523</v>
      </c>
      <c r="N445" s="36" t="s">
        <v>1526</v>
      </c>
      <c r="O445" s="24">
        <f t="shared" si="92"/>
        <v>0</v>
      </c>
      <c r="Z445" s="24">
        <f t="shared" si="93"/>
        <v>0</v>
      </c>
      <c r="AA445" s="24">
        <f t="shared" si="94"/>
        <v>0</v>
      </c>
      <c r="AB445" s="24">
        <f t="shared" si="95"/>
        <v>0</v>
      </c>
      <c r="AD445" s="39">
        <v>15</v>
      </c>
      <c r="AE445" s="39">
        <f t="shared" si="96"/>
        <v>0</v>
      </c>
      <c r="AF445" s="39">
        <f t="shared" si="97"/>
        <v>0</v>
      </c>
      <c r="AM445" s="39">
        <f t="shared" si="98"/>
        <v>0</v>
      </c>
      <c r="AN445" s="39">
        <f t="shared" si="99"/>
        <v>0</v>
      </c>
      <c r="AO445" s="40" t="s">
        <v>1559</v>
      </c>
      <c r="AP445" s="40" t="s">
        <v>1602</v>
      </c>
      <c r="AQ445" s="31" t="s">
        <v>1608</v>
      </c>
    </row>
    <row r="446" spans="1:43" ht="12.75">
      <c r="A446" s="6" t="s">
        <v>259</v>
      </c>
      <c r="B446" s="6" t="s">
        <v>589</v>
      </c>
      <c r="C446" s="6" t="s">
        <v>675</v>
      </c>
      <c r="D446" s="6" t="s">
        <v>1057</v>
      </c>
      <c r="E446" s="6" t="s">
        <v>1495</v>
      </c>
      <c r="F446" s="24">
        <v>45</v>
      </c>
      <c r="G446" s="24">
        <v>0</v>
      </c>
      <c r="H446" s="24">
        <f t="shared" si="88"/>
        <v>0</v>
      </c>
      <c r="I446" s="24">
        <f t="shared" si="89"/>
        <v>0</v>
      </c>
      <c r="J446" s="24">
        <f t="shared" si="90"/>
        <v>0</v>
      </c>
      <c r="K446" s="24">
        <v>0.0003</v>
      </c>
      <c r="L446" s="24">
        <f t="shared" si="91"/>
        <v>0.013499999999999998</v>
      </c>
      <c r="M446" s="36" t="s">
        <v>1523</v>
      </c>
      <c r="N446" s="36" t="s">
        <v>1526</v>
      </c>
      <c r="O446" s="24">
        <f t="shared" si="92"/>
        <v>0</v>
      </c>
      <c r="Z446" s="24">
        <f t="shared" si="93"/>
        <v>0</v>
      </c>
      <c r="AA446" s="24">
        <f t="shared" si="94"/>
        <v>0</v>
      </c>
      <c r="AB446" s="24">
        <f t="shared" si="95"/>
        <v>0</v>
      </c>
      <c r="AD446" s="39">
        <v>15</v>
      </c>
      <c r="AE446" s="39">
        <f t="shared" si="96"/>
        <v>0</v>
      </c>
      <c r="AF446" s="39">
        <f t="shared" si="97"/>
        <v>0</v>
      </c>
      <c r="AM446" s="39">
        <f t="shared" si="98"/>
        <v>0</v>
      </c>
      <c r="AN446" s="39">
        <f t="shared" si="99"/>
        <v>0</v>
      </c>
      <c r="AO446" s="40" t="s">
        <v>1559</v>
      </c>
      <c r="AP446" s="40" t="s">
        <v>1602</v>
      </c>
      <c r="AQ446" s="31" t="s">
        <v>1608</v>
      </c>
    </row>
    <row r="447" spans="1:43" ht="12.75">
      <c r="A447" s="6" t="s">
        <v>260</v>
      </c>
      <c r="B447" s="6" t="s">
        <v>589</v>
      </c>
      <c r="C447" s="6" t="s">
        <v>676</v>
      </c>
      <c r="D447" s="6" t="s">
        <v>1058</v>
      </c>
      <c r="E447" s="6" t="s">
        <v>1495</v>
      </c>
      <c r="F447" s="24">
        <v>30</v>
      </c>
      <c r="G447" s="24">
        <v>0</v>
      </c>
      <c r="H447" s="24">
        <f t="shared" si="88"/>
        <v>0</v>
      </c>
      <c r="I447" s="24">
        <f t="shared" si="89"/>
        <v>0</v>
      </c>
      <c r="J447" s="24">
        <f t="shared" si="90"/>
        <v>0</v>
      </c>
      <c r="K447" s="24">
        <v>0.00041</v>
      </c>
      <c r="L447" s="24">
        <f t="shared" si="91"/>
        <v>0.0123</v>
      </c>
      <c r="M447" s="36" t="s">
        <v>1523</v>
      </c>
      <c r="N447" s="36" t="s">
        <v>1526</v>
      </c>
      <c r="O447" s="24">
        <f t="shared" si="92"/>
        <v>0</v>
      </c>
      <c r="Z447" s="24">
        <f t="shared" si="93"/>
        <v>0</v>
      </c>
      <c r="AA447" s="24">
        <f t="shared" si="94"/>
        <v>0</v>
      </c>
      <c r="AB447" s="24">
        <f t="shared" si="95"/>
        <v>0</v>
      </c>
      <c r="AD447" s="39">
        <v>15</v>
      </c>
      <c r="AE447" s="39">
        <f t="shared" si="96"/>
        <v>0</v>
      </c>
      <c r="AF447" s="39">
        <f t="shared" si="97"/>
        <v>0</v>
      </c>
      <c r="AM447" s="39">
        <f t="shared" si="98"/>
        <v>0</v>
      </c>
      <c r="AN447" s="39">
        <f t="shared" si="99"/>
        <v>0</v>
      </c>
      <c r="AO447" s="40" t="s">
        <v>1559</v>
      </c>
      <c r="AP447" s="40" t="s">
        <v>1602</v>
      </c>
      <c r="AQ447" s="31" t="s">
        <v>1608</v>
      </c>
    </row>
    <row r="448" spans="1:43" ht="12.75">
      <c r="A448" s="6" t="s">
        <v>261</v>
      </c>
      <c r="B448" s="6" t="s">
        <v>589</v>
      </c>
      <c r="C448" s="6" t="s">
        <v>677</v>
      </c>
      <c r="D448" s="6" t="s">
        <v>1059</v>
      </c>
      <c r="E448" s="6" t="s">
        <v>1495</v>
      </c>
      <c r="F448" s="24">
        <v>24</v>
      </c>
      <c r="G448" s="24">
        <v>0</v>
      </c>
      <c r="H448" s="24">
        <f t="shared" si="88"/>
        <v>0</v>
      </c>
      <c r="I448" s="24">
        <f t="shared" si="89"/>
        <v>0</v>
      </c>
      <c r="J448" s="24">
        <f t="shared" si="90"/>
        <v>0</v>
      </c>
      <c r="K448" s="24">
        <v>0.00018</v>
      </c>
      <c r="L448" s="24">
        <f t="shared" si="91"/>
        <v>0.00432</v>
      </c>
      <c r="M448" s="36" t="s">
        <v>1523</v>
      </c>
      <c r="N448" s="36" t="s">
        <v>1526</v>
      </c>
      <c r="O448" s="24">
        <f t="shared" si="92"/>
        <v>0</v>
      </c>
      <c r="Z448" s="24">
        <f t="shared" si="93"/>
        <v>0</v>
      </c>
      <c r="AA448" s="24">
        <f t="shared" si="94"/>
        <v>0</v>
      </c>
      <c r="AB448" s="24">
        <f t="shared" si="95"/>
        <v>0</v>
      </c>
      <c r="AD448" s="39">
        <v>15</v>
      </c>
      <c r="AE448" s="39">
        <f t="shared" si="96"/>
        <v>0</v>
      </c>
      <c r="AF448" s="39">
        <f t="shared" si="97"/>
        <v>0</v>
      </c>
      <c r="AM448" s="39">
        <f t="shared" si="98"/>
        <v>0</v>
      </c>
      <c r="AN448" s="39">
        <f t="shared" si="99"/>
        <v>0</v>
      </c>
      <c r="AO448" s="40" t="s">
        <v>1559</v>
      </c>
      <c r="AP448" s="40" t="s">
        <v>1602</v>
      </c>
      <c r="AQ448" s="31" t="s">
        <v>1608</v>
      </c>
    </row>
    <row r="449" spans="1:43" ht="12.75">
      <c r="A449" s="6" t="s">
        <v>262</v>
      </c>
      <c r="B449" s="6" t="s">
        <v>589</v>
      </c>
      <c r="C449" s="6" t="s">
        <v>845</v>
      </c>
      <c r="D449" s="6" t="s">
        <v>1298</v>
      </c>
      <c r="E449" s="6" t="s">
        <v>1495</v>
      </c>
      <c r="F449" s="24">
        <v>45</v>
      </c>
      <c r="G449" s="24">
        <v>0</v>
      </c>
      <c r="H449" s="24">
        <f t="shared" si="88"/>
        <v>0</v>
      </c>
      <c r="I449" s="24">
        <f t="shared" si="89"/>
        <v>0</v>
      </c>
      <c r="J449" s="24">
        <f t="shared" si="90"/>
        <v>0</v>
      </c>
      <c r="K449" s="24">
        <v>0.00013</v>
      </c>
      <c r="L449" s="24">
        <f t="shared" si="91"/>
        <v>0.005849999999999999</v>
      </c>
      <c r="M449" s="36" t="s">
        <v>1523</v>
      </c>
      <c r="N449" s="36" t="s">
        <v>1526</v>
      </c>
      <c r="O449" s="24">
        <f t="shared" si="92"/>
        <v>0</v>
      </c>
      <c r="Z449" s="24">
        <f t="shared" si="93"/>
        <v>0</v>
      </c>
      <c r="AA449" s="24">
        <f t="shared" si="94"/>
        <v>0</v>
      </c>
      <c r="AB449" s="24">
        <f t="shared" si="95"/>
        <v>0</v>
      </c>
      <c r="AD449" s="39">
        <v>15</v>
      </c>
      <c r="AE449" s="39">
        <f t="shared" si="96"/>
        <v>0</v>
      </c>
      <c r="AF449" s="39">
        <f t="shared" si="97"/>
        <v>0</v>
      </c>
      <c r="AM449" s="39">
        <f t="shared" si="98"/>
        <v>0</v>
      </c>
      <c r="AN449" s="39">
        <f t="shared" si="99"/>
        <v>0</v>
      </c>
      <c r="AO449" s="40" t="s">
        <v>1559</v>
      </c>
      <c r="AP449" s="40" t="s">
        <v>1602</v>
      </c>
      <c r="AQ449" s="31" t="s">
        <v>1608</v>
      </c>
    </row>
    <row r="450" spans="1:43" ht="12.75">
      <c r="A450" s="6" t="s">
        <v>263</v>
      </c>
      <c r="B450" s="6" t="s">
        <v>589</v>
      </c>
      <c r="C450" s="6" t="s">
        <v>678</v>
      </c>
      <c r="D450" s="6" t="s">
        <v>1060</v>
      </c>
      <c r="E450" s="6" t="s">
        <v>1494</v>
      </c>
      <c r="F450" s="24">
        <v>24</v>
      </c>
      <c r="G450" s="24">
        <v>0</v>
      </c>
      <c r="H450" s="24">
        <f t="shared" si="88"/>
        <v>0</v>
      </c>
      <c r="I450" s="24">
        <f t="shared" si="89"/>
        <v>0</v>
      </c>
      <c r="J450" s="24">
        <f t="shared" si="90"/>
        <v>0</v>
      </c>
      <c r="K450" s="24">
        <v>3E-05</v>
      </c>
      <c r="L450" s="24">
        <f t="shared" si="91"/>
        <v>0.00072</v>
      </c>
      <c r="M450" s="36" t="s">
        <v>1523</v>
      </c>
      <c r="N450" s="36" t="s">
        <v>1526</v>
      </c>
      <c r="O450" s="24">
        <f t="shared" si="92"/>
        <v>0</v>
      </c>
      <c r="Z450" s="24">
        <f t="shared" si="93"/>
        <v>0</v>
      </c>
      <c r="AA450" s="24">
        <f t="shared" si="94"/>
        <v>0</v>
      </c>
      <c r="AB450" s="24">
        <f t="shared" si="95"/>
        <v>0</v>
      </c>
      <c r="AD450" s="39">
        <v>15</v>
      </c>
      <c r="AE450" s="39">
        <f t="shared" si="96"/>
        <v>0</v>
      </c>
      <c r="AF450" s="39">
        <f t="shared" si="97"/>
        <v>0</v>
      </c>
      <c r="AM450" s="39">
        <f t="shared" si="98"/>
        <v>0</v>
      </c>
      <c r="AN450" s="39">
        <f t="shared" si="99"/>
        <v>0</v>
      </c>
      <c r="AO450" s="40" t="s">
        <v>1559</v>
      </c>
      <c r="AP450" s="40" t="s">
        <v>1602</v>
      </c>
      <c r="AQ450" s="31" t="s">
        <v>1608</v>
      </c>
    </row>
    <row r="451" spans="1:43" ht="12.75">
      <c r="A451" s="6" t="s">
        <v>264</v>
      </c>
      <c r="B451" s="6" t="s">
        <v>589</v>
      </c>
      <c r="C451" s="6" t="s">
        <v>679</v>
      </c>
      <c r="D451" s="6" t="s">
        <v>1061</v>
      </c>
      <c r="E451" s="6" t="s">
        <v>1494</v>
      </c>
      <c r="F451" s="24">
        <v>24</v>
      </c>
      <c r="G451" s="24">
        <v>0</v>
      </c>
      <c r="H451" s="24">
        <f t="shared" si="88"/>
        <v>0</v>
      </c>
      <c r="I451" s="24">
        <f t="shared" si="89"/>
        <v>0</v>
      </c>
      <c r="J451" s="24">
        <f t="shared" si="90"/>
        <v>0</v>
      </c>
      <c r="K451" s="24">
        <v>1E-05</v>
      </c>
      <c r="L451" s="24">
        <f t="shared" si="91"/>
        <v>0.00024000000000000003</v>
      </c>
      <c r="M451" s="36" t="s">
        <v>1523</v>
      </c>
      <c r="N451" s="36" t="s">
        <v>1526</v>
      </c>
      <c r="O451" s="24">
        <f t="shared" si="92"/>
        <v>0</v>
      </c>
      <c r="Z451" s="24">
        <f t="shared" si="93"/>
        <v>0</v>
      </c>
      <c r="AA451" s="24">
        <f t="shared" si="94"/>
        <v>0</v>
      </c>
      <c r="AB451" s="24">
        <f t="shared" si="95"/>
        <v>0</v>
      </c>
      <c r="AD451" s="39">
        <v>15</v>
      </c>
      <c r="AE451" s="39">
        <f t="shared" si="96"/>
        <v>0</v>
      </c>
      <c r="AF451" s="39">
        <f t="shared" si="97"/>
        <v>0</v>
      </c>
      <c r="AM451" s="39">
        <f t="shared" si="98"/>
        <v>0</v>
      </c>
      <c r="AN451" s="39">
        <f t="shared" si="99"/>
        <v>0</v>
      </c>
      <c r="AO451" s="40" t="s">
        <v>1559</v>
      </c>
      <c r="AP451" s="40" t="s">
        <v>1602</v>
      </c>
      <c r="AQ451" s="31" t="s">
        <v>1608</v>
      </c>
    </row>
    <row r="452" spans="1:43" ht="12.75">
      <c r="A452" s="6" t="s">
        <v>265</v>
      </c>
      <c r="B452" s="6" t="s">
        <v>589</v>
      </c>
      <c r="C452" s="6" t="s">
        <v>846</v>
      </c>
      <c r="D452" s="6" t="s">
        <v>1299</v>
      </c>
      <c r="E452" s="6" t="s">
        <v>1494</v>
      </c>
      <c r="F452" s="24">
        <v>3</v>
      </c>
      <c r="G452" s="24">
        <v>0</v>
      </c>
      <c r="H452" s="24">
        <f t="shared" si="88"/>
        <v>0</v>
      </c>
      <c r="I452" s="24">
        <f t="shared" si="89"/>
        <v>0</v>
      </c>
      <c r="J452" s="24">
        <f t="shared" si="90"/>
        <v>0</v>
      </c>
      <c r="K452" s="24">
        <v>0.033</v>
      </c>
      <c r="L452" s="24">
        <f t="shared" si="91"/>
        <v>0.099</v>
      </c>
      <c r="M452" s="36" t="s">
        <v>1523</v>
      </c>
      <c r="N452" s="36" t="s">
        <v>1526</v>
      </c>
      <c r="O452" s="24">
        <f t="shared" si="92"/>
        <v>0</v>
      </c>
      <c r="Z452" s="24">
        <f t="shared" si="93"/>
        <v>0</v>
      </c>
      <c r="AA452" s="24">
        <f t="shared" si="94"/>
        <v>0</v>
      </c>
      <c r="AB452" s="24">
        <f t="shared" si="95"/>
        <v>0</v>
      </c>
      <c r="AD452" s="39">
        <v>15</v>
      </c>
      <c r="AE452" s="39">
        <f t="shared" si="96"/>
        <v>0</v>
      </c>
      <c r="AF452" s="39">
        <f t="shared" si="97"/>
        <v>0</v>
      </c>
      <c r="AM452" s="39">
        <f t="shared" si="98"/>
        <v>0</v>
      </c>
      <c r="AN452" s="39">
        <f t="shared" si="99"/>
        <v>0</v>
      </c>
      <c r="AO452" s="40" t="s">
        <v>1559</v>
      </c>
      <c r="AP452" s="40" t="s">
        <v>1602</v>
      </c>
      <c r="AQ452" s="31" t="s">
        <v>1608</v>
      </c>
    </row>
    <row r="453" spans="1:43" ht="12.75">
      <c r="A453" s="6" t="s">
        <v>266</v>
      </c>
      <c r="B453" s="6" t="s">
        <v>589</v>
      </c>
      <c r="C453" s="6" t="s">
        <v>681</v>
      </c>
      <c r="D453" s="6" t="s">
        <v>1063</v>
      </c>
      <c r="E453" s="6" t="s">
        <v>1494</v>
      </c>
      <c r="F453" s="24">
        <v>30</v>
      </c>
      <c r="G453" s="24">
        <v>0</v>
      </c>
      <c r="H453" s="24">
        <f t="shared" si="88"/>
        <v>0</v>
      </c>
      <c r="I453" s="24">
        <f t="shared" si="89"/>
        <v>0</v>
      </c>
      <c r="J453" s="24">
        <f t="shared" si="90"/>
        <v>0</v>
      </c>
      <c r="K453" s="24">
        <v>0</v>
      </c>
      <c r="L453" s="24">
        <f t="shared" si="91"/>
        <v>0</v>
      </c>
      <c r="M453" s="36" t="s">
        <v>1523</v>
      </c>
      <c r="N453" s="36" t="s">
        <v>1526</v>
      </c>
      <c r="O453" s="24">
        <f t="shared" si="92"/>
        <v>0</v>
      </c>
      <c r="Z453" s="24">
        <f t="shared" si="93"/>
        <v>0</v>
      </c>
      <c r="AA453" s="24">
        <f t="shared" si="94"/>
        <v>0</v>
      </c>
      <c r="AB453" s="24">
        <f t="shared" si="95"/>
        <v>0</v>
      </c>
      <c r="AD453" s="39">
        <v>15</v>
      </c>
      <c r="AE453" s="39">
        <f t="shared" si="96"/>
        <v>0</v>
      </c>
      <c r="AF453" s="39">
        <f t="shared" si="97"/>
        <v>0</v>
      </c>
      <c r="AM453" s="39">
        <f t="shared" si="98"/>
        <v>0</v>
      </c>
      <c r="AN453" s="39">
        <f t="shared" si="99"/>
        <v>0</v>
      </c>
      <c r="AO453" s="40" t="s">
        <v>1559</v>
      </c>
      <c r="AP453" s="40" t="s">
        <v>1602</v>
      </c>
      <c r="AQ453" s="31" t="s">
        <v>1608</v>
      </c>
    </row>
    <row r="454" spans="1:43" ht="12.75">
      <c r="A454" s="5" t="s">
        <v>267</v>
      </c>
      <c r="B454" s="5" t="s">
        <v>589</v>
      </c>
      <c r="C454" s="5" t="s">
        <v>847</v>
      </c>
      <c r="D454" s="5" t="s">
        <v>1300</v>
      </c>
      <c r="E454" s="5" t="s">
        <v>1494</v>
      </c>
      <c r="F454" s="22">
        <v>3</v>
      </c>
      <c r="G454" s="22">
        <v>0</v>
      </c>
      <c r="H454" s="22">
        <f t="shared" si="88"/>
        <v>0</v>
      </c>
      <c r="I454" s="22">
        <f t="shared" si="89"/>
        <v>0</v>
      </c>
      <c r="J454" s="22">
        <f t="shared" si="90"/>
        <v>0</v>
      </c>
      <c r="K454" s="22">
        <v>0.00039</v>
      </c>
      <c r="L454" s="22">
        <f t="shared" si="91"/>
        <v>0.00117</v>
      </c>
      <c r="M454" s="35" t="s">
        <v>1523</v>
      </c>
      <c r="N454" s="35" t="s">
        <v>8</v>
      </c>
      <c r="O454" s="22">
        <f t="shared" si="92"/>
        <v>0</v>
      </c>
      <c r="Z454" s="22">
        <f t="shared" si="93"/>
        <v>0</v>
      </c>
      <c r="AA454" s="22">
        <f t="shared" si="94"/>
        <v>0</v>
      </c>
      <c r="AB454" s="22">
        <f t="shared" si="95"/>
        <v>0</v>
      </c>
      <c r="AD454" s="39">
        <v>15</v>
      </c>
      <c r="AE454" s="39">
        <f t="shared" si="96"/>
        <v>0</v>
      </c>
      <c r="AF454" s="39">
        <f t="shared" si="97"/>
        <v>0</v>
      </c>
      <c r="AM454" s="39">
        <f t="shared" si="98"/>
        <v>0</v>
      </c>
      <c r="AN454" s="39">
        <f t="shared" si="99"/>
        <v>0</v>
      </c>
      <c r="AO454" s="40" t="s">
        <v>1559</v>
      </c>
      <c r="AP454" s="40" t="s">
        <v>1602</v>
      </c>
      <c r="AQ454" s="31" t="s">
        <v>1608</v>
      </c>
    </row>
    <row r="455" spans="1:43" ht="12.75">
      <c r="A455" s="5" t="s">
        <v>268</v>
      </c>
      <c r="B455" s="5" t="s">
        <v>589</v>
      </c>
      <c r="C455" s="5" t="s">
        <v>661</v>
      </c>
      <c r="D455" s="5" t="s">
        <v>1038</v>
      </c>
      <c r="E455" s="5" t="s">
        <v>1494</v>
      </c>
      <c r="F455" s="22">
        <v>24</v>
      </c>
      <c r="G455" s="22">
        <v>0</v>
      </c>
      <c r="H455" s="22">
        <f t="shared" si="88"/>
        <v>0</v>
      </c>
      <c r="I455" s="22">
        <f t="shared" si="89"/>
        <v>0</v>
      </c>
      <c r="J455" s="22">
        <f t="shared" si="90"/>
        <v>0</v>
      </c>
      <c r="K455" s="22">
        <v>0</v>
      </c>
      <c r="L455" s="22">
        <f t="shared" si="91"/>
        <v>0</v>
      </c>
      <c r="M455" s="35" t="s">
        <v>1523</v>
      </c>
      <c r="N455" s="35" t="s">
        <v>8</v>
      </c>
      <c r="O455" s="22">
        <f t="shared" si="92"/>
        <v>0</v>
      </c>
      <c r="Z455" s="22">
        <f t="shared" si="93"/>
        <v>0</v>
      </c>
      <c r="AA455" s="22">
        <f t="shared" si="94"/>
        <v>0</v>
      </c>
      <c r="AB455" s="22">
        <f t="shared" si="95"/>
        <v>0</v>
      </c>
      <c r="AD455" s="39">
        <v>15</v>
      </c>
      <c r="AE455" s="39">
        <f t="shared" si="96"/>
        <v>0</v>
      </c>
      <c r="AF455" s="39">
        <f t="shared" si="97"/>
        <v>0</v>
      </c>
      <c r="AM455" s="39">
        <f t="shared" si="98"/>
        <v>0</v>
      </c>
      <c r="AN455" s="39">
        <f t="shared" si="99"/>
        <v>0</v>
      </c>
      <c r="AO455" s="40" t="s">
        <v>1559</v>
      </c>
      <c r="AP455" s="40" t="s">
        <v>1602</v>
      </c>
      <c r="AQ455" s="31" t="s">
        <v>1608</v>
      </c>
    </row>
    <row r="456" spans="1:43" ht="12.75">
      <c r="A456" s="5" t="s">
        <v>269</v>
      </c>
      <c r="B456" s="5" t="s">
        <v>589</v>
      </c>
      <c r="C456" s="5" t="s">
        <v>662</v>
      </c>
      <c r="D456" s="5" t="s">
        <v>1039</v>
      </c>
      <c r="E456" s="5" t="s">
        <v>1494</v>
      </c>
      <c r="F456" s="22">
        <v>3</v>
      </c>
      <c r="G456" s="22">
        <v>0</v>
      </c>
      <c r="H456" s="22">
        <f t="shared" si="88"/>
        <v>0</v>
      </c>
      <c r="I456" s="22">
        <f t="shared" si="89"/>
        <v>0</v>
      </c>
      <c r="J456" s="22">
        <f t="shared" si="90"/>
        <v>0</v>
      </c>
      <c r="K456" s="22">
        <v>0</v>
      </c>
      <c r="L456" s="22">
        <f t="shared" si="91"/>
        <v>0</v>
      </c>
      <c r="M456" s="35" t="s">
        <v>1523</v>
      </c>
      <c r="N456" s="35" t="s">
        <v>8</v>
      </c>
      <c r="O456" s="22">
        <f t="shared" si="92"/>
        <v>0</v>
      </c>
      <c r="Z456" s="22">
        <f t="shared" si="93"/>
        <v>0</v>
      </c>
      <c r="AA456" s="22">
        <f t="shared" si="94"/>
        <v>0</v>
      </c>
      <c r="AB456" s="22">
        <f t="shared" si="95"/>
        <v>0</v>
      </c>
      <c r="AD456" s="39">
        <v>15</v>
      </c>
      <c r="AE456" s="39">
        <f>G456*0</f>
        <v>0</v>
      </c>
      <c r="AF456" s="39">
        <f>G456*(1-0)</f>
        <v>0</v>
      </c>
      <c r="AM456" s="39">
        <f t="shared" si="98"/>
        <v>0</v>
      </c>
      <c r="AN456" s="39">
        <f t="shared" si="99"/>
        <v>0</v>
      </c>
      <c r="AO456" s="40" t="s">
        <v>1559</v>
      </c>
      <c r="AP456" s="40" t="s">
        <v>1602</v>
      </c>
      <c r="AQ456" s="31" t="s">
        <v>1608</v>
      </c>
    </row>
    <row r="457" spans="1:43" ht="12.75">
      <c r="A457" s="5" t="s">
        <v>270</v>
      </c>
      <c r="B457" s="5" t="s">
        <v>589</v>
      </c>
      <c r="C457" s="5" t="s">
        <v>663</v>
      </c>
      <c r="D457" s="5" t="s">
        <v>1301</v>
      </c>
      <c r="E457" s="5" t="s">
        <v>1494</v>
      </c>
      <c r="F457" s="22">
        <v>3</v>
      </c>
      <c r="G457" s="22">
        <v>0</v>
      </c>
      <c r="H457" s="22">
        <f t="shared" si="88"/>
        <v>0</v>
      </c>
      <c r="I457" s="22">
        <f t="shared" si="89"/>
        <v>0</v>
      </c>
      <c r="J457" s="22">
        <f t="shared" si="90"/>
        <v>0</v>
      </c>
      <c r="K457" s="22">
        <v>0</v>
      </c>
      <c r="L457" s="22">
        <f t="shared" si="91"/>
        <v>0</v>
      </c>
      <c r="M457" s="35" t="s">
        <v>1523</v>
      </c>
      <c r="N457" s="35" t="s">
        <v>8</v>
      </c>
      <c r="O457" s="22">
        <f t="shared" si="92"/>
        <v>0</v>
      </c>
      <c r="Z457" s="22">
        <f t="shared" si="93"/>
        <v>0</v>
      </c>
      <c r="AA457" s="22">
        <f t="shared" si="94"/>
        <v>0</v>
      </c>
      <c r="AB457" s="22">
        <f t="shared" si="95"/>
        <v>0</v>
      </c>
      <c r="AD457" s="39">
        <v>15</v>
      </c>
      <c r="AE457" s="39">
        <f>G457*0</f>
        <v>0</v>
      </c>
      <c r="AF457" s="39">
        <f>G457*(1-0)</f>
        <v>0</v>
      </c>
      <c r="AM457" s="39">
        <f t="shared" si="98"/>
        <v>0</v>
      </c>
      <c r="AN457" s="39">
        <f t="shared" si="99"/>
        <v>0</v>
      </c>
      <c r="AO457" s="40" t="s">
        <v>1559</v>
      </c>
      <c r="AP457" s="40" t="s">
        <v>1602</v>
      </c>
      <c r="AQ457" s="31" t="s">
        <v>1608</v>
      </c>
    </row>
    <row r="458" spans="1:43" ht="12.75">
      <c r="A458" s="5" t="s">
        <v>271</v>
      </c>
      <c r="B458" s="5" t="s">
        <v>589</v>
      </c>
      <c r="C458" s="5" t="s">
        <v>848</v>
      </c>
      <c r="D458" s="5" t="s">
        <v>1043</v>
      </c>
      <c r="E458" s="5" t="s">
        <v>1494</v>
      </c>
      <c r="F458" s="22">
        <v>3</v>
      </c>
      <c r="G458" s="22">
        <v>0</v>
      </c>
      <c r="H458" s="22">
        <f t="shared" si="88"/>
        <v>0</v>
      </c>
      <c r="I458" s="22">
        <f t="shared" si="89"/>
        <v>0</v>
      </c>
      <c r="J458" s="22">
        <f t="shared" si="90"/>
        <v>0</v>
      </c>
      <c r="K458" s="22">
        <v>0</v>
      </c>
      <c r="L458" s="22">
        <f t="shared" si="91"/>
        <v>0</v>
      </c>
      <c r="M458" s="35" t="s">
        <v>1523</v>
      </c>
      <c r="N458" s="35" t="s">
        <v>8</v>
      </c>
      <c r="O458" s="22">
        <f t="shared" si="92"/>
        <v>0</v>
      </c>
      <c r="Z458" s="22">
        <f t="shared" si="93"/>
        <v>0</v>
      </c>
      <c r="AA458" s="22">
        <f t="shared" si="94"/>
        <v>0</v>
      </c>
      <c r="AB458" s="22">
        <f t="shared" si="95"/>
        <v>0</v>
      </c>
      <c r="AD458" s="39">
        <v>15</v>
      </c>
      <c r="AE458" s="39">
        <f>G458*0</f>
        <v>0</v>
      </c>
      <c r="AF458" s="39">
        <f>G458*(1-0)</f>
        <v>0</v>
      </c>
      <c r="AM458" s="39">
        <f t="shared" si="98"/>
        <v>0</v>
      </c>
      <c r="AN458" s="39">
        <f t="shared" si="99"/>
        <v>0</v>
      </c>
      <c r="AO458" s="40" t="s">
        <v>1559</v>
      </c>
      <c r="AP458" s="40" t="s">
        <v>1602</v>
      </c>
      <c r="AQ458" s="31" t="s">
        <v>1608</v>
      </c>
    </row>
    <row r="459" spans="1:43" ht="12.75">
      <c r="A459" s="5" t="s">
        <v>272</v>
      </c>
      <c r="B459" s="5" t="s">
        <v>589</v>
      </c>
      <c r="C459" s="5" t="s">
        <v>664</v>
      </c>
      <c r="D459" s="5" t="s">
        <v>1302</v>
      </c>
      <c r="E459" s="5" t="s">
        <v>1501</v>
      </c>
      <c r="F459" s="22">
        <v>96</v>
      </c>
      <c r="G459" s="22">
        <v>0</v>
      </c>
      <c r="H459" s="22">
        <f t="shared" si="88"/>
        <v>0</v>
      </c>
      <c r="I459" s="22">
        <f t="shared" si="89"/>
        <v>0</v>
      </c>
      <c r="J459" s="22">
        <f t="shared" si="90"/>
        <v>0</v>
      </c>
      <c r="K459" s="22">
        <v>0</v>
      </c>
      <c r="L459" s="22">
        <f t="shared" si="91"/>
        <v>0</v>
      </c>
      <c r="M459" s="35" t="s">
        <v>1523</v>
      </c>
      <c r="N459" s="35" t="s">
        <v>8</v>
      </c>
      <c r="O459" s="22">
        <f t="shared" si="92"/>
        <v>0</v>
      </c>
      <c r="Z459" s="22">
        <f t="shared" si="93"/>
        <v>0</v>
      </c>
      <c r="AA459" s="22">
        <f t="shared" si="94"/>
        <v>0</v>
      </c>
      <c r="AB459" s="22">
        <f t="shared" si="95"/>
        <v>0</v>
      </c>
      <c r="AD459" s="39">
        <v>15</v>
      </c>
      <c r="AE459" s="39">
        <f>G459*0</f>
        <v>0</v>
      </c>
      <c r="AF459" s="39">
        <f>G459*(1-0)</f>
        <v>0</v>
      </c>
      <c r="AM459" s="39">
        <f t="shared" si="98"/>
        <v>0</v>
      </c>
      <c r="AN459" s="39">
        <f t="shared" si="99"/>
        <v>0</v>
      </c>
      <c r="AO459" s="40" t="s">
        <v>1559</v>
      </c>
      <c r="AP459" s="40" t="s">
        <v>1602</v>
      </c>
      <c r="AQ459" s="31" t="s">
        <v>1608</v>
      </c>
    </row>
    <row r="460" spans="1:43" ht="12.75">
      <c r="A460" s="5" t="s">
        <v>273</v>
      </c>
      <c r="B460" s="5" t="s">
        <v>589</v>
      </c>
      <c r="C460" s="5" t="s">
        <v>665</v>
      </c>
      <c r="D460" s="5" t="s">
        <v>1047</v>
      </c>
      <c r="E460" s="5" t="s">
        <v>1494</v>
      </c>
      <c r="F460" s="22">
        <v>21</v>
      </c>
      <c r="G460" s="22">
        <v>0</v>
      </c>
      <c r="H460" s="22">
        <f t="shared" si="88"/>
        <v>0</v>
      </c>
      <c r="I460" s="22">
        <f t="shared" si="89"/>
        <v>0</v>
      </c>
      <c r="J460" s="22">
        <f t="shared" si="90"/>
        <v>0</v>
      </c>
      <c r="K460" s="22">
        <v>0</v>
      </c>
      <c r="L460" s="22">
        <f t="shared" si="91"/>
        <v>0</v>
      </c>
      <c r="M460" s="35" t="s">
        <v>1523</v>
      </c>
      <c r="N460" s="35" t="s">
        <v>8</v>
      </c>
      <c r="O460" s="22">
        <f t="shared" si="92"/>
        <v>0</v>
      </c>
      <c r="Z460" s="22">
        <f t="shared" si="93"/>
        <v>0</v>
      </c>
      <c r="AA460" s="22">
        <f t="shared" si="94"/>
        <v>0</v>
      </c>
      <c r="AB460" s="22">
        <f t="shared" si="95"/>
        <v>0</v>
      </c>
      <c r="AD460" s="39">
        <v>15</v>
      </c>
      <c r="AE460" s="39">
        <f aca="true" t="shared" si="100" ref="AE460:AE465">G460*1</f>
        <v>0</v>
      </c>
      <c r="AF460" s="39">
        <f aca="true" t="shared" si="101" ref="AF460:AF465">G460*(1-1)</f>
        <v>0</v>
      </c>
      <c r="AM460" s="39">
        <f t="shared" si="98"/>
        <v>0</v>
      </c>
      <c r="AN460" s="39">
        <f t="shared" si="99"/>
        <v>0</v>
      </c>
      <c r="AO460" s="40" t="s">
        <v>1559</v>
      </c>
      <c r="AP460" s="40" t="s">
        <v>1602</v>
      </c>
      <c r="AQ460" s="31" t="s">
        <v>1608</v>
      </c>
    </row>
    <row r="461" spans="1:43" ht="12.75">
      <c r="A461" s="5" t="s">
        <v>274</v>
      </c>
      <c r="B461" s="5" t="s">
        <v>589</v>
      </c>
      <c r="C461" s="5" t="s">
        <v>849</v>
      </c>
      <c r="D461" s="5" t="s">
        <v>1303</v>
      </c>
      <c r="E461" s="5" t="s">
        <v>1495</v>
      </c>
      <c r="F461" s="22">
        <v>45</v>
      </c>
      <c r="G461" s="22">
        <v>0</v>
      </c>
      <c r="H461" s="22">
        <f t="shared" si="88"/>
        <v>0</v>
      </c>
      <c r="I461" s="22">
        <f t="shared" si="89"/>
        <v>0</v>
      </c>
      <c r="J461" s="22">
        <f t="shared" si="90"/>
        <v>0</v>
      </c>
      <c r="K461" s="22">
        <v>0</v>
      </c>
      <c r="L461" s="22">
        <f t="shared" si="91"/>
        <v>0</v>
      </c>
      <c r="M461" s="35" t="s">
        <v>1523</v>
      </c>
      <c r="N461" s="35" t="s">
        <v>8</v>
      </c>
      <c r="O461" s="22">
        <f t="shared" si="92"/>
        <v>0</v>
      </c>
      <c r="Z461" s="22">
        <f t="shared" si="93"/>
        <v>0</v>
      </c>
      <c r="AA461" s="22">
        <f t="shared" si="94"/>
        <v>0</v>
      </c>
      <c r="AB461" s="22">
        <f t="shared" si="95"/>
        <v>0</v>
      </c>
      <c r="AD461" s="39">
        <v>15</v>
      </c>
      <c r="AE461" s="39">
        <f t="shared" si="100"/>
        <v>0</v>
      </c>
      <c r="AF461" s="39">
        <f t="shared" si="101"/>
        <v>0</v>
      </c>
      <c r="AM461" s="39">
        <f t="shared" si="98"/>
        <v>0</v>
      </c>
      <c r="AN461" s="39">
        <f t="shared" si="99"/>
        <v>0</v>
      </c>
      <c r="AO461" s="40" t="s">
        <v>1559</v>
      </c>
      <c r="AP461" s="40" t="s">
        <v>1602</v>
      </c>
      <c r="AQ461" s="31" t="s">
        <v>1608</v>
      </c>
    </row>
    <row r="462" spans="1:43" ht="12.75">
      <c r="A462" s="5" t="s">
        <v>275</v>
      </c>
      <c r="B462" s="5" t="s">
        <v>589</v>
      </c>
      <c r="C462" s="5" t="s">
        <v>850</v>
      </c>
      <c r="D462" s="5" t="s">
        <v>1304</v>
      </c>
      <c r="E462" s="5" t="s">
        <v>1494</v>
      </c>
      <c r="F462" s="22">
        <v>12</v>
      </c>
      <c r="G462" s="22">
        <v>0</v>
      </c>
      <c r="H462" s="22">
        <f t="shared" si="88"/>
        <v>0</v>
      </c>
      <c r="I462" s="22">
        <f t="shared" si="89"/>
        <v>0</v>
      </c>
      <c r="J462" s="22">
        <f t="shared" si="90"/>
        <v>0</v>
      </c>
      <c r="K462" s="22">
        <v>0</v>
      </c>
      <c r="L462" s="22">
        <f t="shared" si="91"/>
        <v>0</v>
      </c>
      <c r="M462" s="35" t="s">
        <v>1523</v>
      </c>
      <c r="N462" s="35" t="s">
        <v>8</v>
      </c>
      <c r="O462" s="22">
        <f t="shared" si="92"/>
        <v>0</v>
      </c>
      <c r="Z462" s="22">
        <f t="shared" si="93"/>
        <v>0</v>
      </c>
      <c r="AA462" s="22">
        <f t="shared" si="94"/>
        <v>0</v>
      </c>
      <c r="AB462" s="22">
        <f t="shared" si="95"/>
        <v>0</v>
      </c>
      <c r="AD462" s="39">
        <v>15</v>
      </c>
      <c r="AE462" s="39">
        <f t="shared" si="100"/>
        <v>0</v>
      </c>
      <c r="AF462" s="39">
        <f t="shared" si="101"/>
        <v>0</v>
      </c>
      <c r="AM462" s="39">
        <f t="shared" si="98"/>
        <v>0</v>
      </c>
      <c r="AN462" s="39">
        <f t="shared" si="99"/>
        <v>0</v>
      </c>
      <c r="AO462" s="40" t="s">
        <v>1559</v>
      </c>
      <c r="AP462" s="40" t="s">
        <v>1602</v>
      </c>
      <c r="AQ462" s="31" t="s">
        <v>1608</v>
      </c>
    </row>
    <row r="463" spans="1:43" ht="12.75">
      <c r="A463" s="5" t="s">
        <v>276</v>
      </c>
      <c r="B463" s="5" t="s">
        <v>589</v>
      </c>
      <c r="C463" s="5" t="s">
        <v>851</v>
      </c>
      <c r="D463" s="5" t="s">
        <v>1305</v>
      </c>
      <c r="E463" s="5" t="s">
        <v>1494</v>
      </c>
      <c r="F463" s="22">
        <v>3</v>
      </c>
      <c r="G463" s="22">
        <v>0</v>
      </c>
      <c r="H463" s="22">
        <f t="shared" si="88"/>
        <v>0</v>
      </c>
      <c r="I463" s="22">
        <f t="shared" si="89"/>
        <v>0</v>
      </c>
      <c r="J463" s="22">
        <f t="shared" si="90"/>
        <v>0</v>
      </c>
      <c r="K463" s="22">
        <v>0</v>
      </c>
      <c r="L463" s="22">
        <f t="shared" si="91"/>
        <v>0</v>
      </c>
      <c r="M463" s="35" t="s">
        <v>1523</v>
      </c>
      <c r="N463" s="35" t="s">
        <v>8</v>
      </c>
      <c r="O463" s="22">
        <f t="shared" si="92"/>
        <v>0</v>
      </c>
      <c r="Z463" s="22">
        <f t="shared" si="93"/>
        <v>0</v>
      </c>
      <c r="AA463" s="22">
        <f t="shared" si="94"/>
        <v>0</v>
      </c>
      <c r="AB463" s="22">
        <f t="shared" si="95"/>
        <v>0</v>
      </c>
      <c r="AD463" s="39">
        <v>15</v>
      </c>
      <c r="AE463" s="39">
        <f t="shared" si="100"/>
        <v>0</v>
      </c>
      <c r="AF463" s="39">
        <f t="shared" si="101"/>
        <v>0</v>
      </c>
      <c r="AM463" s="39">
        <f t="shared" si="98"/>
        <v>0</v>
      </c>
      <c r="AN463" s="39">
        <f t="shared" si="99"/>
        <v>0</v>
      </c>
      <c r="AO463" s="40" t="s">
        <v>1559</v>
      </c>
      <c r="AP463" s="40" t="s">
        <v>1602</v>
      </c>
      <c r="AQ463" s="31" t="s">
        <v>1608</v>
      </c>
    </row>
    <row r="464" spans="1:43" ht="12.75">
      <c r="A464" s="5" t="s">
        <v>277</v>
      </c>
      <c r="B464" s="5" t="s">
        <v>589</v>
      </c>
      <c r="C464" s="5" t="s">
        <v>852</v>
      </c>
      <c r="D464" s="5" t="s">
        <v>1306</v>
      </c>
      <c r="E464" s="5" t="s">
        <v>1494</v>
      </c>
      <c r="F464" s="22">
        <v>3</v>
      </c>
      <c r="G464" s="22">
        <v>0</v>
      </c>
      <c r="H464" s="22">
        <f t="shared" si="88"/>
        <v>0</v>
      </c>
      <c r="I464" s="22">
        <f t="shared" si="89"/>
        <v>0</v>
      </c>
      <c r="J464" s="22">
        <f t="shared" si="90"/>
        <v>0</v>
      </c>
      <c r="K464" s="22">
        <v>0</v>
      </c>
      <c r="L464" s="22">
        <f t="shared" si="91"/>
        <v>0</v>
      </c>
      <c r="M464" s="35" t="s">
        <v>1523</v>
      </c>
      <c r="N464" s="35" t="s">
        <v>8</v>
      </c>
      <c r="O464" s="22">
        <f t="shared" si="92"/>
        <v>0</v>
      </c>
      <c r="Z464" s="22">
        <f t="shared" si="93"/>
        <v>0</v>
      </c>
      <c r="AA464" s="22">
        <f t="shared" si="94"/>
        <v>0</v>
      </c>
      <c r="AB464" s="22">
        <f t="shared" si="95"/>
        <v>0</v>
      </c>
      <c r="AD464" s="39">
        <v>15</v>
      </c>
      <c r="AE464" s="39">
        <f t="shared" si="100"/>
        <v>0</v>
      </c>
      <c r="AF464" s="39">
        <f t="shared" si="101"/>
        <v>0</v>
      </c>
      <c r="AM464" s="39">
        <f t="shared" si="98"/>
        <v>0</v>
      </c>
      <c r="AN464" s="39">
        <f t="shared" si="99"/>
        <v>0</v>
      </c>
      <c r="AO464" s="40" t="s">
        <v>1559</v>
      </c>
      <c r="AP464" s="40" t="s">
        <v>1602</v>
      </c>
      <c r="AQ464" s="31" t="s">
        <v>1608</v>
      </c>
    </row>
    <row r="465" spans="1:43" ht="12.75">
      <c r="A465" s="6" t="s">
        <v>278</v>
      </c>
      <c r="B465" s="6" t="s">
        <v>589</v>
      </c>
      <c r="C465" s="6" t="s">
        <v>853</v>
      </c>
      <c r="D465" s="6" t="s">
        <v>1307</v>
      </c>
      <c r="E465" s="6" t="s">
        <v>1494</v>
      </c>
      <c r="F465" s="24">
        <v>3</v>
      </c>
      <c r="G465" s="24">
        <v>0</v>
      </c>
      <c r="H465" s="24">
        <f t="shared" si="88"/>
        <v>0</v>
      </c>
      <c r="I465" s="24">
        <f t="shared" si="89"/>
        <v>0</v>
      </c>
      <c r="J465" s="24">
        <f t="shared" si="90"/>
        <v>0</v>
      </c>
      <c r="K465" s="24">
        <v>0.00059</v>
      </c>
      <c r="L465" s="24">
        <f t="shared" si="91"/>
        <v>0.00177</v>
      </c>
      <c r="M465" s="36" t="s">
        <v>1523</v>
      </c>
      <c r="N465" s="36" t="s">
        <v>1526</v>
      </c>
      <c r="O465" s="24">
        <f t="shared" si="92"/>
        <v>0</v>
      </c>
      <c r="Z465" s="24">
        <f t="shared" si="93"/>
        <v>0</v>
      </c>
      <c r="AA465" s="24">
        <f t="shared" si="94"/>
        <v>0</v>
      </c>
      <c r="AB465" s="24">
        <f t="shared" si="95"/>
        <v>0</v>
      </c>
      <c r="AD465" s="39">
        <v>15</v>
      </c>
      <c r="AE465" s="39">
        <f t="shared" si="100"/>
        <v>0</v>
      </c>
      <c r="AF465" s="39">
        <f t="shared" si="101"/>
        <v>0</v>
      </c>
      <c r="AM465" s="39">
        <f t="shared" si="98"/>
        <v>0</v>
      </c>
      <c r="AN465" s="39">
        <f t="shared" si="99"/>
        <v>0</v>
      </c>
      <c r="AO465" s="40" t="s">
        <v>1559</v>
      </c>
      <c r="AP465" s="40" t="s">
        <v>1602</v>
      </c>
      <c r="AQ465" s="31" t="s">
        <v>1608</v>
      </c>
    </row>
    <row r="466" spans="1:13" ht="12.75">
      <c r="A466" s="7"/>
      <c r="B466" s="15" t="s">
        <v>590</v>
      </c>
      <c r="C466" s="15"/>
      <c r="D466" s="106" t="s">
        <v>1308</v>
      </c>
      <c r="E466" s="107"/>
      <c r="F466" s="107"/>
      <c r="G466" s="107"/>
      <c r="H466" s="43">
        <f>H467+H483+H495+H500+H503+H511+H517+H530+H555+H588+H598+H602+H604+H609+H613+H633+H637+H653+H663+H667+H682+H686+H691+H695+H698+H701+H720+H724+H726+H728+H730+H732+H734+H736+H738+H740+H742+H744+H746+H748+H750+H752+H754+H756+H758+H796</f>
        <v>0</v>
      </c>
      <c r="I466" s="43">
        <f>I467+I483+I495+I500+I503+I511+I517+I530+I555+I588+I598+I602+I604+I609+I613+I633+I637+I653+I663+I667+I682+I686+I691+I695+I698+I701+I720+I724+I726+I728+I730+I732+I734+I736+I738+I740+I742+I744+I746+I748+I750+I752+I754+I756+I758+I796</f>
        <v>0</v>
      </c>
      <c r="J466" s="43">
        <f>H466+I466</f>
        <v>0</v>
      </c>
      <c r="K466" s="32"/>
      <c r="L466" s="43">
        <f>L467+L483+L495+L500+L503+L511+L517+L530+L555+L588+L598+L602+L604+L609+L613+L633+L637+L653+L663+L667+L682+L686+L691+L695+L698+L701+L720+L724+L726+L728+L730+L732+L734+L736+L738+L740+L742+L744+L746+L748+L750+L752+L754+L756+L758+L796</f>
        <v>48.47343931000001</v>
      </c>
      <c r="M466" s="32"/>
    </row>
    <row r="467" spans="1:37" ht="12.75">
      <c r="A467" s="4"/>
      <c r="B467" s="14" t="s">
        <v>590</v>
      </c>
      <c r="C467" s="14" t="s">
        <v>40</v>
      </c>
      <c r="D467" s="104" t="s">
        <v>1065</v>
      </c>
      <c r="E467" s="105"/>
      <c r="F467" s="105"/>
      <c r="G467" s="105"/>
      <c r="H467" s="42">
        <f>SUM(H468:H476)</f>
        <v>0</v>
      </c>
      <c r="I467" s="42">
        <f>SUM(I468:I476)</f>
        <v>0</v>
      </c>
      <c r="J467" s="42">
        <f>H467+I467</f>
        <v>0</v>
      </c>
      <c r="K467" s="31"/>
      <c r="L467" s="42">
        <f>SUM(L468:L476)</f>
        <v>6.62986756</v>
      </c>
      <c r="M467" s="31"/>
      <c r="P467" s="42">
        <f>IF(Q467="PR",J467,SUM(O468:O476))</f>
        <v>0</v>
      </c>
      <c r="Q467" s="31" t="s">
        <v>1529</v>
      </c>
      <c r="R467" s="42">
        <f>IF(Q467="HS",H467,0)</f>
        <v>0</v>
      </c>
      <c r="S467" s="42">
        <f>IF(Q467="HS",I467-P467,0)</f>
        <v>0</v>
      </c>
      <c r="T467" s="42">
        <f>IF(Q467="PS",H467,0)</f>
        <v>0</v>
      </c>
      <c r="U467" s="42">
        <f>IF(Q467="PS",I467-P467,0)</f>
        <v>0</v>
      </c>
      <c r="V467" s="42">
        <f>IF(Q467="MP",H467,0)</f>
        <v>0</v>
      </c>
      <c r="W467" s="42">
        <f>IF(Q467="MP",I467-P467,0)</f>
        <v>0</v>
      </c>
      <c r="X467" s="42">
        <f>IF(Q467="OM",H467,0)</f>
        <v>0</v>
      </c>
      <c r="Y467" s="31" t="s">
        <v>590</v>
      </c>
      <c r="AI467" s="42">
        <f>SUM(Z468:Z476)</f>
        <v>0</v>
      </c>
      <c r="AJ467" s="42">
        <f>SUM(AA468:AA476)</f>
        <v>0</v>
      </c>
      <c r="AK467" s="42">
        <f>SUM(AB468:AB476)</f>
        <v>0</v>
      </c>
    </row>
    <row r="468" spans="1:43" ht="12.75">
      <c r="A468" s="5" t="s">
        <v>279</v>
      </c>
      <c r="B468" s="5" t="s">
        <v>590</v>
      </c>
      <c r="C468" s="5" t="s">
        <v>682</v>
      </c>
      <c r="D468" s="5" t="s">
        <v>1066</v>
      </c>
      <c r="E468" s="5" t="s">
        <v>1493</v>
      </c>
      <c r="F468" s="22">
        <v>178.24</v>
      </c>
      <c r="G468" s="22">
        <v>0</v>
      </c>
      <c r="H468" s="22">
        <f>F468*AE468</f>
        <v>0</v>
      </c>
      <c r="I468" s="22">
        <f>J468-H468</f>
        <v>0</v>
      </c>
      <c r="J468" s="22">
        <f>F468*G468</f>
        <v>0</v>
      </c>
      <c r="K468" s="22">
        <v>0.0186</v>
      </c>
      <c r="L468" s="22">
        <f>F468*K468</f>
        <v>3.315264</v>
      </c>
      <c r="M468" s="35" t="s">
        <v>1523</v>
      </c>
      <c r="N468" s="35" t="s">
        <v>7</v>
      </c>
      <c r="O468" s="22">
        <f>IF(N468="5",I468,0)</f>
        <v>0</v>
      </c>
      <c r="Z468" s="22">
        <f>IF(AD468=0,J468,0)</f>
        <v>0</v>
      </c>
      <c r="AA468" s="22">
        <f>IF(AD468=15,J468,0)</f>
        <v>0</v>
      </c>
      <c r="AB468" s="22">
        <f>IF(AD468=21,J468,0)</f>
        <v>0</v>
      </c>
      <c r="AD468" s="39">
        <v>15</v>
      </c>
      <c r="AE468" s="39">
        <f>G468*0.375521472392638</f>
        <v>0</v>
      </c>
      <c r="AF468" s="39">
        <f>G468*(1-0.375521472392638)</f>
        <v>0</v>
      </c>
      <c r="AM468" s="39">
        <f>F468*AE468</f>
        <v>0</v>
      </c>
      <c r="AN468" s="39">
        <f>F468*AF468</f>
        <v>0</v>
      </c>
      <c r="AO468" s="40" t="s">
        <v>1560</v>
      </c>
      <c r="AP468" s="40" t="s">
        <v>1603</v>
      </c>
      <c r="AQ468" s="31" t="s">
        <v>1609</v>
      </c>
    </row>
    <row r="469" ht="12.75">
      <c r="D469" s="18" t="s">
        <v>1067</v>
      </c>
    </row>
    <row r="470" spans="4:6" ht="10.5" customHeight="1">
      <c r="D470" s="17" t="s">
        <v>1068</v>
      </c>
      <c r="F470" s="23">
        <v>178.24</v>
      </c>
    </row>
    <row r="471" spans="1:43" ht="12.75">
      <c r="A471" s="5" t="s">
        <v>280</v>
      </c>
      <c r="B471" s="5" t="s">
        <v>590</v>
      </c>
      <c r="C471" s="5" t="s">
        <v>683</v>
      </c>
      <c r="D471" s="5" t="s">
        <v>1066</v>
      </c>
      <c r="E471" s="5" t="s">
        <v>1493</v>
      </c>
      <c r="F471" s="22">
        <v>11.07</v>
      </c>
      <c r="G471" s="22">
        <v>0</v>
      </c>
      <c r="H471" s="22">
        <f>F471*AE471</f>
        <v>0</v>
      </c>
      <c r="I471" s="22">
        <f>J471-H471</f>
        <v>0</v>
      </c>
      <c r="J471" s="22">
        <f>F471*G471</f>
        <v>0</v>
      </c>
      <c r="K471" s="22">
        <v>0.0186</v>
      </c>
      <c r="L471" s="22">
        <f>F471*K471</f>
        <v>0.205902</v>
      </c>
      <c r="M471" s="35" t="s">
        <v>1523</v>
      </c>
      <c r="N471" s="35" t="s">
        <v>7</v>
      </c>
      <c r="O471" s="22">
        <f>IF(N471="5",I471,0)</f>
        <v>0</v>
      </c>
      <c r="Z471" s="22">
        <f>IF(AD471=0,J471,0)</f>
        <v>0</v>
      </c>
      <c r="AA471" s="22">
        <f>IF(AD471=15,J471,0)</f>
        <v>0</v>
      </c>
      <c r="AB471" s="22">
        <f>IF(AD471=21,J471,0)</f>
        <v>0</v>
      </c>
      <c r="AD471" s="39">
        <v>15</v>
      </c>
      <c r="AE471" s="39">
        <f>G471*0.415</f>
        <v>0</v>
      </c>
      <c r="AF471" s="39">
        <f>G471*(1-0.415)</f>
        <v>0</v>
      </c>
      <c r="AM471" s="39">
        <f>F471*AE471</f>
        <v>0</v>
      </c>
      <c r="AN471" s="39">
        <f>F471*AF471</f>
        <v>0</v>
      </c>
      <c r="AO471" s="40" t="s">
        <v>1560</v>
      </c>
      <c r="AP471" s="40" t="s">
        <v>1603</v>
      </c>
      <c r="AQ471" s="31" t="s">
        <v>1609</v>
      </c>
    </row>
    <row r="472" ht="12.75">
      <c r="D472" s="18" t="s">
        <v>1069</v>
      </c>
    </row>
    <row r="473" spans="1:43" ht="12.75">
      <c r="A473" s="5" t="s">
        <v>281</v>
      </c>
      <c r="B473" s="5" t="s">
        <v>590</v>
      </c>
      <c r="C473" s="5" t="s">
        <v>684</v>
      </c>
      <c r="D473" s="5" t="s">
        <v>1070</v>
      </c>
      <c r="E473" s="5" t="s">
        <v>1493</v>
      </c>
      <c r="F473" s="22">
        <v>8.2786</v>
      </c>
      <c r="G473" s="22">
        <v>0</v>
      </c>
      <c r="H473" s="22">
        <f>F473*AE473</f>
        <v>0</v>
      </c>
      <c r="I473" s="22">
        <f>J473-H473</f>
        <v>0</v>
      </c>
      <c r="J473" s="22">
        <f>F473*G473</f>
        <v>0</v>
      </c>
      <c r="K473" s="22">
        <v>0.0706</v>
      </c>
      <c r="L473" s="22">
        <f>F473*K473</f>
        <v>0.58446916</v>
      </c>
      <c r="M473" s="35" t="s">
        <v>1523</v>
      </c>
      <c r="N473" s="35" t="s">
        <v>9</v>
      </c>
      <c r="O473" s="22">
        <f>IF(N473="5",I473,0)</f>
        <v>0</v>
      </c>
      <c r="Z473" s="22">
        <f>IF(AD473=0,J473,0)</f>
        <v>0</v>
      </c>
      <c r="AA473" s="22">
        <f>IF(AD473=15,J473,0)</f>
        <v>0</v>
      </c>
      <c r="AB473" s="22">
        <f>IF(AD473=21,J473,0)</f>
        <v>0</v>
      </c>
      <c r="AD473" s="39">
        <v>15</v>
      </c>
      <c r="AE473" s="39">
        <f>G473*0.636367265469062</f>
        <v>0</v>
      </c>
      <c r="AF473" s="39">
        <f>G473*(1-0.636367265469062)</f>
        <v>0</v>
      </c>
      <c r="AM473" s="39">
        <f>F473*AE473</f>
        <v>0</v>
      </c>
      <c r="AN473" s="39">
        <f>F473*AF473</f>
        <v>0</v>
      </c>
      <c r="AO473" s="40" t="s">
        <v>1560</v>
      </c>
      <c r="AP473" s="40" t="s">
        <v>1603</v>
      </c>
      <c r="AQ473" s="31" t="s">
        <v>1609</v>
      </c>
    </row>
    <row r="474" ht="12.75">
      <c r="D474" s="18" t="s">
        <v>1071</v>
      </c>
    </row>
    <row r="475" spans="4:6" ht="10.5" customHeight="1">
      <c r="D475" s="17" t="s">
        <v>1309</v>
      </c>
      <c r="F475" s="23">
        <v>8.2786</v>
      </c>
    </row>
    <row r="476" spans="1:43" ht="12.75">
      <c r="A476" s="5" t="s">
        <v>282</v>
      </c>
      <c r="B476" s="5" t="s">
        <v>590</v>
      </c>
      <c r="C476" s="5" t="s">
        <v>684</v>
      </c>
      <c r="D476" s="5" t="s">
        <v>1070</v>
      </c>
      <c r="E476" s="5" t="s">
        <v>1493</v>
      </c>
      <c r="F476" s="22">
        <v>35.754</v>
      </c>
      <c r="G476" s="22">
        <v>0</v>
      </c>
      <c r="H476" s="22">
        <f>F476*AE476</f>
        <v>0</v>
      </c>
      <c r="I476" s="22">
        <f>J476-H476</f>
        <v>0</v>
      </c>
      <c r="J476" s="22">
        <f>F476*G476</f>
        <v>0</v>
      </c>
      <c r="K476" s="22">
        <v>0.0706</v>
      </c>
      <c r="L476" s="22">
        <f>F476*K476</f>
        <v>2.5242324</v>
      </c>
      <c r="M476" s="35" t="s">
        <v>1523</v>
      </c>
      <c r="N476" s="35" t="s">
        <v>9</v>
      </c>
      <c r="O476" s="22">
        <f>IF(N476="5",I476,0)</f>
        <v>0</v>
      </c>
      <c r="Z476" s="22">
        <f>IF(AD476=0,J476,0)</f>
        <v>0</v>
      </c>
      <c r="AA476" s="22">
        <f>IF(AD476=15,J476,0)</f>
        <v>0</v>
      </c>
      <c r="AB476" s="22">
        <f>IF(AD476=21,J476,0)</f>
        <v>0</v>
      </c>
      <c r="AD476" s="39">
        <v>15</v>
      </c>
      <c r="AE476" s="39">
        <f>G476*0.636367265469062</f>
        <v>0</v>
      </c>
      <c r="AF476" s="39">
        <f>G476*(1-0.636367265469062)</f>
        <v>0</v>
      </c>
      <c r="AM476" s="39">
        <f>F476*AE476</f>
        <v>0</v>
      </c>
      <c r="AN476" s="39">
        <f>F476*AF476</f>
        <v>0</v>
      </c>
      <c r="AO476" s="40" t="s">
        <v>1560</v>
      </c>
      <c r="AP476" s="40" t="s">
        <v>1603</v>
      </c>
      <c r="AQ476" s="31" t="s">
        <v>1609</v>
      </c>
    </row>
    <row r="477" ht="12.75">
      <c r="D477" s="18" t="s">
        <v>1073</v>
      </c>
    </row>
    <row r="478" spans="4:6" ht="10.5" customHeight="1">
      <c r="D478" s="17" t="s">
        <v>1074</v>
      </c>
      <c r="F478" s="23">
        <v>12.96</v>
      </c>
    </row>
    <row r="479" spans="4:6" ht="10.5" customHeight="1">
      <c r="D479" s="17" t="s">
        <v>1075</v>
      </c>
      <c r="F479" s="23">
        <v>25.11</v>
      </c>
    </row>
    <row r="480" spans="4:6" ht="10.5" customHeight="1">
      <c r="D480" s="17" t="s">
        <v>1076</v>
      </c>
      <c r="F480" s="23">
        <v>13.284</v>
      </c>
    </row>
    <row r="481" spans="4:6" ht="10.5" customHeight="1">
      <c r="D481" s="17" t="s">
        <v>1077</v>
      </c>
      <c r="F481" s="23">
        <v>-10.8</v>
      </c>
    </row>
    <row r="482" spans="4:6" ht="10.5" customHeight="1">
      <c r="D482" s="17" t="s">
        <v>1078</v>
      </c>
      <c r="F482" s="23">
        <v>-4.8</v>
      </c>
    </row>
    <row r="483" spans="1:37" ht="12.75">
      <c r="A483" s="4"/>
      <c r="B483" s="14" t="s">
        <v>590</v>
      </c>
      <c r="C483" s="14" t="s">
        <v>67</v>
      </c>
      <c r="D483" s="104" t="s">
        <v>958</v>
      </c>
      <c r="E483" s="105"/>
      <c r="F483" s="105"/>
      <c r="G483" s="105"/>
      <c r="H483" s="42">
        <f>SUM(H484:H492)</f>
        <v>0</v>
      </c>
      <c r="I483" s="42">
        <f>SUM(I484:I492)</f>
        <v>0</v>
      </c>
      <c r="J483" s="42">
        <f>H483+I483</f>
        <v>0</v>
      </c>
      <c r="K483" s="31"/>
      <c r="L483" s="42">
        <f>SUM(L484:L492)</f>
        <v>7.704231</v>
      </c>
      <c r="M483" s="31"/>
      <c r="P483" s="42">
        <f>IF(Q483="PR",J483,SUM(O484:O492))</f>
        <v>0</v>
      </c>
      <c r="Q483" s="31" t="s">
        <v>1529</v>
      </c>
      <c r="R483" s="42">
        <f>IF(Q483="HS",H483,0)</f>
        <v>0</v>
      </c>
      <c r="S483" s="42">
        <f>IF(Q483="HS",I483-P483,0)</f>
        <v>0</v>
      </c>
      <c r="T483" s="42">
        <f>IF(Q483="PS",H483,0)</f>
        <v>0</v>
      </c>
      <c r="U483" s="42">
        <f>IF(Q483="PS",I483-P483,0)</f>
        <v>0</v>
      </c>
      <c r="V483" s="42">
        <f>IF(Q483="MP",H483,0)</f>
        <v>0</v>
      </c>
      <c r="W483" s="42">
        <f>IF(Q483="MP",I483-P483,0)</f>
        <v>0</v>
      </c>
      <c r="X483" s="42">
        <f>IF(Q483="OM",H483,0)</f>
        <v>0</v>
      </c>
      <c r="Y483" s="31" t="s">
        <v>590</v>
      </c>
      <c r="AI483" s="42">
        <f>SUM(Z484:Z492)</f>
        <v>0</v>
      </c>
      <c r="AJ483" s="42">
        <f>SUM(AA484:AA492)</f>
        <v>0</v>
      </c>
      <c r="AK483" s="42">
        <f>SUM(AB484:AB492)</f>
        <v>0</v>
      </c>
    </row>
    <row r="484" spans="1:43" ht="12.75">
      <c r="A484" s="5" t="s">
        <v>283</v>
      </c>
      <c r="B484" s="5" t="s">
        <v>590</v>
      </c>
      <c r="C484" s="5" t="s">
        <v>685</v>
      </c>
      <c r="D484" s="5" t="s">
        <v>1079</v>
      </c>
      <c r="E484" s="5" t="s">
        <v>1493</v>
      </c>
      <c r="F484" s="22">
        <v>11.64</v>
      </c>
      <c r="G484" s="22">
        <v>0</v>
      </c>
      <c r="H484" s="22">
        <f>F484*AE484</f>
        <v>0</v>
      </c>
      <c r="I484" s="22">
        <f>J484-H484</f>
        <v>0</v>
      </c>
      <c r="J484" s="22">
        <f>F484*G484</f>
        <v>0</v>
      </c>
      <c r="K484" s="22">
        <v>0.00367</v>
      </c>
      <c r="L484" s="22">
        <f>F484*K484</f>
        <v>0.0427188</v>
      </c>
      <c r="M484" s="35" t="s">
        <v>1523</v>
      </c>
      <c r="N484" s="35" t="s">
        <v>7</v>
      </c>
      <c r="O484" s="22">
        <f>IF(N484="5",I484,0)</f>
        <v>0</v>
      </c>
      <c r="Z484" s="22">
        <f>IF(AD484=0,J484,0)</f>
        <v>0</v>
      </c>
      <c r="AA484" s="22">
        <f>IF(AD484=15,J484,0)</f>
        <v>0</v>
      </c>
      <c r="AB484" s="22">
        <f>IF(AD484=21,J484,0)</f>
        <v>0</v>
      </c>
      <c r="AD484" s="39">
        <v>15</v>
      </c>
      <c r="AE484" s="39">
        <f>G484*0.298520693667239</f>
        <v>0</v>
      </c>
      <c r="AF484" s="39">
        <f>G484*(1-0.298520693667239)</f>
        <v>0</v>
      </c>
      <c r="AM484" s="39">
        <f>F484*AE484</f>
        <v>0</v>
      </c>
      <c r="AN484" s="39">
        <f>F484*AF484</f>
        <v>0</v>
      </c>
      <c r="AO484" s="40" t="s">
        <v>1540</v>
      </c>
      <c r="AP484" s="40" t="s">
        <v>1596</v>
      </c>
      <c r="AQ484" s="31" t="s">
        <v>1609</v>
      </c>
    </row>
    <row r="485" ht="12.75">
      <c r="D485" s="18" t="s">
        <v>969</v>
      </c>
    </row>
    <row r="486" spans="4:6" ht="10.5" customHeight="1">
      <c r="D486" s="17" t="s">
        <v>1080</v>
      </c>
      <c r="F486" s="23">
        <v>11.64</v>
      </c>
    </row>
    <row r="487" spans="1:43" ht="12.75">
      <c r="A487" s="5" t="s">
        <v>284</v>
      </c>
      <c r="B487" s="5" t="s">
        <v>590</v>
      </c>
      <c r="C487" s="5" t="s">
        <v>595</v>
      </c>
      <c r="D487" s="5" t="s">
        <v>959</v>
      </c>
      <c r="E487" s="5" t="s">
        <v>1493</v>
      </c>
      <c r="F487" s="22">
        <v>376.618</v>
      </c>
      <c r="G487" s="22">
        <v>0</v>
      </c>
      <c r="H487" s="22">
        <f>F487*AE487</f>
        <v>0</v>
      </c>
      <c r="I487" s="22">
        <f>J487-H487</f>
        <v>0</v>
      </c>
      <c r="J487" s="22">
        <f>F487*G487</f>
        <v>0</v>
      </c>
      <c r="K487" s="22">
        <v>0.0021</v>
      </c>
      <c r="L487" s="22">
        <f>F487*K487</f>
        <v>0.7908978</v>
      </c>
      <c r="M487" s="35" t="s">
        <v>1523</v>
      </c>
      <c r="N487" s="35" t="s">
        <v>7</v>
      </c>
      <c r="O487" s="22">
        <f>IF(N487="5",I487,0)</f>
        <v>0</v>
      </c>
      <c r="Z487" s="22">
        <f>IF(AD487=0,J487,0)</f>
        <v>0</v>
      </c>
      <c r="AA487" s="22">
        <f>IF(AD487=15,J487,0)</f>
        <v>0</v>
      </c>
      <c r="AB487" s="22">
        <f>IF(AD487=21,J487,0)</f>
        <v>0</v>
      </c>
      <c r="AD487" s="39">
        <v>15</v>
      </c>
      <c r="AE487" s="39">
        <f>G487*0.815916955017301</f>
        <v>0</v>
      </c>
      <c r="AF487" s="39">
        <f>G487*(1-0.815916955017301)</f>
        <v>0</v>
      </c>
      <c r="AM487" s="39">
        <f>F487*AE487</f>
        <v>0</v>
      </c>
      <c r="AN487" s="39">
        <f>F487*AF487</f>
        <v>0</v>
      </c>
      <c r="AO487" s="40" t="s">
        <v>1540</v>
      </c>
      <c r="AP487" s="40" t="s">
        <v>1596</v>
      </c>
      <c r="AQ487" s="31" t="s">
        <v>1609</v>
      </c>
    </row>
    <row r="488" spans="4:6" ht="10.5" customHeight="1">
      <c r="D488" s="17" t="s">
        <v>1081</v>
      </c>
      <c r="F488" s="23">
        <v>376.618</v>
      </c>
    </row>
    <row r="489" spans="1:43" ht="12.75">
      <c r="A489" s="5" t="s">
        <v>285</v>
      </c>
      <c r="B489" s="5" t="s">
        <v>590</v>
      </c>
      <c r="C489" s="5" t="s">
        <v>596</v>
      </c>
      <c r="D489" s="5" t="s">
        <v>964</v>
      </c>
      <c r="E489" s="5" t="s">
        <v>1493</v>
      </c>
      <c r="F489" s="22">
        <v>384.9</v>
      </c>
      <c r="G489" s="22">
        <v>0</v>
      </c>
      <c r="H489" s="22">
        <f>F489*AE489</f>
        <v>0</v>
      </c>
      <c r="I489" s="22">
        <f>J489-H489</f>
        <v>0</v>
      </c>
      <c r="J489" s="22">
        <f>F489*G489</f>
        <v>0</v>
      </c>
      <c r="K489" s="22">
        <v>0.00635</v>
      </c>
      <c r="L489" s="22">
        <f>F489*K489</f>
        <v>2.4441149999999996</v>
      </c>
      <c r="M489" s="35" t="s">
        <v>1523</v>
      </c>
      <c r="N489" s="35" t="s">
        <v>7</v>
      </c>
      <c r="O489" s="22">
        <f>IF(N489="5",I489,0)</f>
        <v>0</v>
      </c>
      <c r="Z489" s="22">
        <f>IF(AD489=0,J489,0)</f>
        <v>0</v>
      </c>
      <c r="AA489" s="22">
        <f>IF(AD489=15,J489,0)</f>
        <v>0</v>
      </c>
      <c r="AB489" s="22">
        <f>IF(AD489=21,J489,0)</f>
        <v>0</v>
      </c>
      <c r="AD489" s="39">
        <v>15</v>
      </c>
      <c r="AE489" s="39">
        <f>G489*0.0665993945509586</f>
        <v>0</v>
      </c>
      <c r="AF489" s="39">
        <f>G489*(1-0.0665993945509586)</f>
        <v>0</v>
      </c>
      <c r="AM489" s="39">
        <f>F489*AE489</f>
        <v>0</v>
      </c>
      <c r="AN489" s="39">
        <f>F489*AF489</f>
        <v>0</v>
      </c>
      <c r="AO489" s="40" t="s">
        <v>1540</v>
      </c>
      <c r="AP489" s="40" t="s">
        <v>1596</v>
      </c>
      <c r="AQ489" s="31" t="s">
        <v>1609</v>
      </c>
    </row>
    <row r="490" spans="4:6" ht="10.5" customHeight="1">
      <c r="D490" s="17" t="s">
        <v>1082</v>
      </c>
      <c r="F490" s="23">
        <v>384.9</v>
      </c>
    </row>
    <row r="491" spans="1:43" ht="12.75">
      <c r="A491" s="5" t="s">
        <v>286</v>
      </c>
      <c r="B491" s="5" t="s">
        <v>590</v>
      </c>
      <c r="C491" s="5" t="s">
        <v>686</v>
      </c>
      <c r="D491" s="5" t="s">
        <v>1083</v>
      </c>
      <c r="E491" s="5" t="s">
        <v>1495</v>
      </c>
      <c r="F491" s="22">
        <v>150</v>
      </c>
      <c r="G491" s="22">
        <v>0</v>
      </c>
      <c r="H491" s="22">
        <f>F491*AE491</f>
        <v>0</v>
      </c>
      <c r="I491" s="22">
        <f>J491-H491</f>
        <v>0</v>
      </c>
      <c r="J491" s="22">
        <f>F491*G491</f>
        <v>0</v>
      </c>
      <c r="K491" s="22">
        <v>0.01733</v>
      </c>
      <c r="L491" s="22">
        <f>F491*K491</f>
        <v>2.5995000000000004</v>
      </c>
      <c r="M491" s="35" t="s">
        <v>1523</v>
      </c>
      <c r="N491" s="35" t="s">
        <v>7</v>
      </c>
      <c r="O491" s="22">
        <f>IF(N491="5",I491,0)</f>
        <v>0</v>
      </c>
      <c r="Z491" s="22">
        <f>IF(AD491=0,J491,0)</f>
        <v>0</v>
      </c>
      <c r="AA491" s="22">
        <f>IF(AD491=15,J491,0)</f>
        <v>0</v>
      </c>
      <c r="AB491" s="22">
        <f>IF(AD491=21,J491,0)</f>
        <v>0</v>
      </c>
      <c r="AD491" s="39">
        <v>15</v>
      </c>
      <c r="AE491" s="39">
        <f>G491*0.395538461538462</f>
        <v>0</v>
      </c>
      <c r="AF491" s="39">
        <f>G491*(1-0.395538461538462)</f>
        <v>0</v>
      </c>
      <c r="AM491" s="39">
        <f>F491*AE491</f>
        <v>0</v>
      </c>
      <c r="AN491" s="39">
        <f>F491*AF491</f>
        <v>0</v>
      </c>
      <c r="AO491" s="40" t="s">
        <v>1540</v>
      </c>
      <c r="AP491" s="40" t="s">
        <v>1596</v>
      </c>
      <c r="AQ491" s="31" t="s">
        <v>1609</v>
      </c>
    </row>
    <row r="492" spans="1:43" ht="12.75">
      <c r="A492" s="5" t="s">
        <v>287</v>
      </c>
      <c r="B492" s="5" t="s">
        <v>590</v>
      </c>
      <c r="C492" s="5" t="s">
        <v>685</v>
      </c>
      <c r="D492" s="5" t="s">
        <v>1079</v>
      </c>
      <c r="E492" s="5" t="s">
        <v>1493</v>
      </c>
      <c r="F492" s="22">
        <v>497.82</v>
      </c>
      <c r="G492" s="22">
        <v>0</v>
      </c>
      <c r="H492" s="22">
        <f>F492*AE492</f>
        <v>0</v>
      </c>
      <c r="I492" s="22">
        <f>J492-H492</f>
        <v>0</v>
      </c>
      <c r="J492" s="22">
        <f>F492*G492</f>
        <v>0</v>
      </c>
      <c r="K492" s="22">
        <v>0.00367</v>
      </c>
      <c r="L492" s="22">
        <f>F492*K492</f>
        <v>1.8269994</v>
      </c>
      <c r="M492" s="35" t="s">
        <v>1523</v>
      </c>
      <c r="N492" s="35" t="s">
        <v>7</v>
      </c>
      <c r="O492" s="22">
        <f>IF(N492="5",I492,0)</f>
        <v>0</v>
      </c>
      <c r="Z492" s="22">
        <f>IF(AD492=0,J492,0)</f>
        <v>0</v>
      </c>
      <c r="AA492" s="22">
        <f>IF(AD492=15,J492,0)</f>
        <v>0</v>
      </c>
      <c r="AB492" s="22">
        <f>IF(AD492=21,J492,0)</f>
        <v>0</v>
      </c>
      <c r="AD492" s="39">
        <v>15</v>
      </c>
      <c r="AE492" s="39">
        <f>G492*0.298520693667239</f>
        <v>0</v>
      </c>
      <c r="AF492" s="39">
        <f>G492*(1-0.298520693667239)</f>
        <v>0</v>
      </c>
      <c r="AM492" s="39">
        <f>F492*AE492</f>
        <v>0</v>
      </c>
      <c r="AN492" s="39">
        <f>F492*AF492</f>
        <v>0</v>
      </c>
      <c r="AO492" s="40" t="s">
        <v>1540</v>
      </c>
      <c r="AP492" s="40" t="s">
        <v>1596</v>
      </c>
      <c r="AQ492" s="31" t="s">
        <v>1609</v>
      </c>
    </row>
    <row r="493" ht="12.75">
      <c r="D493" s="18" t="s">
        <v>969</v>
      </c>
    </row>
    <row r="494" spans="4:6" ht="10.5" customHeight="1">
      <c r="D494" s="17" t="s">
        <v>1084</v>
      </c>
      <c r="F494" s="23">
        <v>497.82</v>
      </c>
    </row>
    <row r="495" spans="1:37" ht="12.75">
      <c r="A495" s="4"/>
      <c r="B495" s="14" t="s">
        <v>590</v>
      </c>
      <c r="C495" s="14" t="s">
        <v>69</v>
      </c>
      <c r="D495" s="104" t="s">
        <v>1085</v>
      </c>
      <c r="E495" s="105"/>
      <c r="F495" s="105"/>
      <c r="G495" s="105"/>
      <c r="H495" s="42">
        <f>SUM(H496:H496)</f>
        <v>0</v>
      </c>
      <c r="I495" s="42">
        <f>SUM(I496:I496)</f>
        <v>0</v>
      </c>
      <c r="J495" s="42">
        <f>H495+I495</f>
        <v>0</v>
      </c>
      <c r="K495" s="31"/>
      <c r="L495" s="42">
        <f>SUM(L496:L496)</f>
        <v>13.241897900000001</v>
      </c>
      <c r="M495" s="31"/>
      <c r="P495" s="42">
        <f>IF(Q495="PR",J495,SUM(O496:O496))</f>
        <v>0</v>
      </c>
      <c r="Q495" s="31" t="s">
        <v>1529</v>
      </c>
      <c r="R495" s="42">
        <f>IF(Q495="HS",H495,0)</f>
        <v>0</v>
      </c>
      <c r="S495" s="42">
        <f>IF(Q495="HS",I495-P495,0)</f>
        <v>0</v>
      </c>
      <c r="T495" s="42">
        <f>IF(Q495="PS",H495,0)</f>
        <v>0</v>
      </c>
      <c r="U495" s="42">
        <f>IF(Q495="PS",I495-P495,0)</f>
        <v>0</v>
      </c>
      <c r="V495" s="42">
        <f>IF(Q495="MP",H495,0)</f>
        <v>0</v>
      </c>
      <c r="W495" s="42">
        <f>IF(Q495="MP",I495-P495,0)</f>
        <v>0</v>
      </c>
      <c r="X495" s="42">
        <f>IF(Q495="OM",H495,0)</f>
        <v>0</v>
      </c>
      <c r="Y495" s="31" t="s">
        <v>590</v>
      </c>
      <c r="AI495" s="42">
        <f>SUM(Z496:Z496)</f>
        <v>0</v>
      </c>
      <c r="AJ495" s="42">
        <f>SUM(AA496:AA496)</f>
        <v>0</v>
      </c>
      <c r="AK495" s="42">
        <f>SUM(AB496:AB496)</f>
        <v>0</v>
      </c>
    </row>
    <row r="496" spans="1:43" ht="12.75">
      <c r="A496" s="5" t="s">
        <v>288</v>
      </c>
      <c r="B496" s="5" t="s">
        <v>590</v>
      </c>
      <c r="C496" s="5" t="s">
        <v>687</v>
      </c>
      <c r="D496" s="5" t="s">
        <v>1086</v>
      </c>
      <c r="E496" s="5" t="s">
        <v>1493</v>
      </c>
      <c r="F496" s="22">
        <v>170.27</v>
      </c>
      <c r="G496" s="22">
        <v>0</v>
      </c>
      <c r="H496" s="22">
        <f>F496*AE496</f>
        <v>0</v>
      </c>
      <c r="I496" s="22">
        <f>J496-H496</f>
        <v>0</v>
      </c>
      <c r="J496" s="22">
        <f>F496*G496</f>
        <v>0</v>
      </c>
      <c r="K496" s="22">
        <v>0.07777</v>
      </c>
      <c r="L496" s="22">
        <f>F496*K496</f>
        <v>13.241897900000001</v>
      </c>
      <c r="M496" s="35" t="s">
        <v>1523</v>
      </c>
      <c r="N496" s="35" t="s">
        <v>7</v>
      </c>
      <c r="O496" s="22">
        <f>IF(N496="5",I496,0)</f>
        <v>0</v>
      </c>
      <c r="Z496" s="22">
        <f>IF(AD496=0,J496,0)</f>
        <v>0</v>
      </c>
      <c r="AA496" s="22">
        <f>IF(AD496=15,J496,0)</f>
        <v>0</v>
      </c>
      <c r="AB496" s="22">
        <f>IF(AD496=21,J496,0)</f>
        <v>0</v>
      </c>
      <c r="AD496" s="39">
        <v>15</v>
      </c>
      <c r="AE496" s="39">
        <f>G496*0.61025</f>
        <v>0</v>
      </c>
      <c r="AF496" s="39">
        <f>G496*(1-0.61025)</f>
        <v>0</v>
      </c>
      <c r="AM496" s="39">
        <f>F496*AE496</f>
        <v>0</v>
      </c>
      <c r="AN496" s="39">
        <f>F496*AF496</f>
        <v>0</v>
      </c>
      <c r="AO496" s="40" t="s">
        <v>1561</v>
      </c>
      <c r="AP496" s="40" t="s">
        <v>1596</v>
      </c>
      <c r="AQ496" s="31" t="s">
        <v>1609</v>
      </c>
    </row>
    <row r="497" spans="4:6" ht="10.5" customHeight="1">
      <c r="D497" s="17" t="s">
        <v>1087</v>
      </c>
      <c r="F497" s="23">
        <v>72.1</v>
      </c>
    </row>
    <row r="498" spans="4:6" ht="10.5" customHeight="1">
      <c r="D498" s="17" t="s">
        <v>1088</v>
      </c>
      <c r="F498" s="23">
        <v>35.33</v>
      </c>
    </row>
    <row r="499" spans="4:6" ht="10.5" customHeight="1">
      <c r="D499" s="17" t="s">
        <v>1089</v>
      </c>
      <c r="F499" s="23">
        <v>62.84</v>
      </c>
    </row>
    <row r="500" spans="1:37" ht="12.75">
      <c r="A500" s="4"/>
      <c r="B500" s="14" t="s">
        <v>590</v>
      </c>
      <c r="C500" s="14" t="s">
        <v>70</v>
      </c>
      <c r="D500" s="104" t="s">
        <v>971</v>
      </c>
      <c r="E500" s="105"/>
      <c r="F500" s="105"/>
      <c r="G500" s="105"/>
      <c r="H500" s="42">
        <f>SUM(H501:H502)</f>
        <v>0</v>
      </c>
      <c r="I500" s="42">
        <f>SUM(I501:I502)</f>
        <v>0</v>
      </c>
      <c r="J500" s="42">
        <f>H500+I500</f>
        <v>0</v>
      </c>
      <c r="K500" s="31"/>
      <c r="L500" s="42">
        <f>SUM(L501:L502)</f>
        <v>0.20343</v>
      </c>
      <c r="M500" s="31"/>
      <c r="P500" s="42">
        <f>IF(Q500="PR",J500,SUM(O501:O502))</f>
        <v>0</v>
      </c>
      <c r="Q500" s="31" t="s">
        <v>1529</v>
      </c>
      <c r="R500" s="42">
        <f>IF(Q500="HS",H500,0)</f>
        <v>0</v>
      </c>
      <c r="S500" s="42">
        <f>IF(Q500="HS",I500-P500,0)</f>
        <v>0</v>
      </c>
      <c r="T500" s="42">
        <f>IF(Q500="PS",H500,0)</f>
        <v>0</v>
      </c>
      <c r="U500" s="42">
        <f>IF(Q500="PS",I500-P500,0)</f>
        <v>0</v>
      </c>
      <c r="V500" s="42">
        <f>IF(Q500="MP",H500,0)</f>
        <v>0</v>
      </c>
      <c r="W500" s="42">
        <f>IF(Q500="MP",I500-P500,0)</f>
        <v>0</v>
      </c>
      <c r="X500" s="42">
        <f>IF(Q500="OM",H500,0)</f>
        <v>0</v>
      </c>
      <c r="Y500" s="31" t="s">
        <v>590</v>
      </c>
      <c r="AI500" s="42">
        <f>SUM(Z501:Z502)</f>
        <v>0</v>
      </c>
      <c r="AJ500" s="42">
        <f>SUM(AA501:AA502)</f>
        <v>0</v>
      </c>
      <c r="AK500" s="42">
        <f>SUM(AB501:AB502)</f>
        <v>0</v>
      </c>
    </row>
    <row r="501" spans="1:43" ht="12.75">
      <c r="A501" s="5" t="s">
        <v>289</v>
      </c>
      <c r="B501" s="5" t="s">
        <v>590</v>
      </c>
      <c r="C501" s="5" t="s">
        <v>600</v>
      </c>
      <c r="D501" s="5" t="s">
        <v>972</v>
      </c>
      <c r="E501" s="5" t="s">
        <v>1494</v>
      </c>
      <c r="F501" s="22">
        <v>3</v>
      </c>
      <c r="G501" s="22">
        <v>0</v>
      </c>
      <c r="H501" s="22">
        <f>F501*AE501</f>
        <v>0</v>
      </c>
      <c r="I501" s="22">
        <f>J501-H501</f>
        <v>0</v>
      </c>
      <c r="J501" s="22">
        <f>F501*G501</f>
        <v>0</v>
      </c>
      <c r="K501" s="22">
        <v>0.05401</v>
      </c>
      <c r="L501" s="22">
        <f>F501*K501</f>
        <v>0.16203</v>
      </c>
      <c r="M501" s="35" t="s">
        <v>1523</v>
      </c>
      <c r="N501" s="35" t="s">
        <v>7</v>
      </c>
      <c r="O501" s="22">
        <f>IF(N501="5",I501,0)</f>
        <v>0</v>
      </c>
      <c r="Z501" s="22">
        <f>IF(AD501=0,J501,0)</f>
        <v>0</v>
      </c>
      <c r="AA501" s="22">
        <f>IF(AD501=15,J501,0)</f>
        <v>0</v>
      </c>
      <c r="AB501" s="22">
        <f>IF(AD501=21,J501,0)</f>
        <v>0</v>
      </c>
      <c r="AD501" s="39">
        <v>15</v>
      </c>
      <c r="AE501" s="39">
        <f>G501*0.130146064908988</f>
        <v>0</v>
      </c>
      <c r="AF501" s="39">
        <f>G501*(1-0.130146064908988)</f>
        <v>0</v>
      </c>
      <c r="AM501" s="39">
        <f>F501*AE501</f>
        <v>0</v>
      </c>
      <c r="AN501" s="39">
        <f>F501*AF501</f>
        <v>0</v>
      </c>
      <c r="AO501" s="40" t="s">
        <v>1541</v>
      </c>
      <c r="AP501" s="40" t="s">
        <v>1596</v>
      </c>
      <c r="AQ501" s="31" t="s">
        <v>1609</v>
      </c>
    </row>
    <row r="502" spans="1:43" ht="12.75">
      <c r="A502" s="6" t="s">
        <v>290</v>
      </c>
      <c r="B502" s="6" t="s">
        <v>590</v>
      </c>
      <c r="C502" s="6" t="s">
        <v>688</v>
      </c>
      <c r="D502" s="6" t="s">
        <v>1090</v>
      </c>
      <c r="E502" s="6" t="s">
        <v>1494</v>
      </c>
      <c r="F502" s="24">
        <v>3</v>
      </c>
      <c r="G502" s="24">
        <v>0</v>
      </c>
      <c r="H502" s="24">
        <f>F502*AE502</f>
        <v>0</v>
      </c>
      <c r="I502" s="24">
        <f>J502-H502</f>
        <v>0</v>
      </c>
      <c r="J502" s="24">
        <f>F502*G502</f>
        <v>0</v>
      </c>
      <c r="K502" s="24">
        <v>0.0138</v>
      </c>
      <c r="L502" s="24">
        <f>F502*K502</f>
        <v>0.0414</v>
      </c>
      <c r="M502" s="36" t="s">
        <v>1523</v>
      </c>
      <c r="N502" s="36" t="s">
        <v>1526</v>
      </c>
      <c r="O502" s="24">
        <f>IF(N502="5",I502,0)</f>
        <v>0</v>
      </c>
      <c r="Z502" s="24">
        <f>IF(AD502=0,J502,0)</f>
        <v>0</v>
      </c>
      <c r="AA502" s="24">
        <f>IF(AD502=15,J502,0)</f>
        <v>0</v>
      </c>
      <c r="AB502" s="24">
        <f>IF(AD502=21,J502,0)</f>
        <v>0</v>
      </c>
      <c r="AD502" s="39">
        <v>15</v>
      </c>
      <c r="AE502" s="39">
        <f>G502*1</f>
        <v>0</v>
      </c>
      <c r="AF502" s="39">
        <f>G502*(1-1)</f>
        <v>0</v>
      </c>
      <c r="AM502" s="39">
        <f>F502*AE502</f>
        <v>0</v>
      </c>
      <c r="AN502" s="39">
        <f>F502*AF502</f>
        <v>0</v>
      </c>
      <c r="AO502" s="40" t="s">
        <v>1541</v>
      </c>
      <c r="AP502" s="40" t="s">
        <v>1596</v>
      </c>
      <c r="AQ502" s="31" t="s">
        <v>1609</v>
      </c>
    </row>
    <row r="503" spans="1:37" ht="12.75">
      <c r="A503" s="4"/>
      <c r="B503" s="14" t="s">
        <v>590</v>
      </c>
      <c r="C503" s="14" t="s">
        <v>689</v>
      </c>
      <c r="D503" s="104" t="s">
        <v>1091</v>
      </c>
      <c r="E503" s="105"/>
      <c r="F503" s="105"/>
      <c r="G503" s="105"/>
      <c r="H503" s="42">
        <f>SUM(H504:H509)</f>
        <v>0</v>
      </c>
      <c r="I503" s="42">
        <f>SUM(I504:I509)</f>
        <v>0</v>
      </c>
      <c r="J503" s="42">
        <f>H503+I503</f>
        <v>0</v>
      </c>
      <c r="K503" s="31"/>
      <c r="L503" s="42">
        <f>SUM(L504:L509)</f>
        <v>0.0820968</v>
      </c>
      <c r="M503" s="31"/>
      <c r="P503" s="42">
        <f>IF(Q503="PR",J503,SUM(O504:O509))</f>
        <v>0</v>
      </c>
      <c r="Q503" s="31" t="s">
        <v>1530</v>
      </c>
      <c r="R503" s="42">
        <f>IF(Q503="HS",H503,0)</f>
        <v>0</v>
      </c>
      <c r="S503" s="42">
        <f>IF(Q503="HS",I503-P503,0)</f>
        <v>0</v>
      </c>
      <c r="T503" s="42">
        <f>IF(Q503="PS",H503,0)</f>
        <v>0</v>
      </c>
      <c r="U503" s="42">
        <f>IF(Q503="PS",I503-P503,0)</f>
        <v>0</v>
      </c>
      <c r="V503" s="42">
        <f>IF(Q503="MP",H503,0)</f>
        <v>0</v>
      </c>
      <c r="W503" s="42">
        <f>IF(Q503="MP",I503-P503,0)</f>
        <v>0</v>
      </c>
      <c r="X503" s="42">
        <f>IF(Q503="OM",H503,0)</f>
        <v>0</v>
      </c>
      <c r="Y503" s="31" t="s">
        <v>590</v>
      </c>
      <c r="AI503" s="42">
        <f>SUM(Z504:Z509)</f>
        <v>0</v>
      </c>
      <c r="AJ503" s="42">
        <f>SUM(AA504:AA509)</f>
        <v>0</v>
      </c>
      <c r="AK503" s="42">
        <f>SUM(AB504:AB509)</f>
        <v>0</v>
      </c>
    </row>
    <row r="504" spans="1:43" ht="12.75">
      <c r="A504" s="5" t="s">
        <v>291</v>
      </c>
      <c r="B504" s="5" t="s">
        <v>590</v>
      </c>
      <c r="C504" s="5" t="s">
        <v>690</v>
      </c>
      <c r="D504" s="5" t="s">
        <v>1092</v>
      </c>
      <c r="E504" s="5" t="s">
        <v>1493</v>
      </c>
      <c r="F504" s="22">
        <v>10.935</v>
      </c>
      <c r="G504" s="22">
        <v>0</v>
      </c>
      <c r="H504" s="22">
        <f>F504*AE504</f>
        <v>0</v>
      </c>
      <c r="I504" s="22">
        <f>J504-H504</f>
        <v>0</v>
      </c>
      <c r="J504" s="22">
        <f>F504*G504</f>
        <v>0</v>
      </c>
      <c r="K504" s="22">
        <v>0.00368</v>
      </c>
      <c r="L504" s="22">
        <f>F504*K504</f>
        <v>0.0402408</v>
      </c>
      <c r="M504" s="35" t="s">
        <v>1523</v>
      </c>
      <c r="N504" s="35" t="s">
        <v>7</v>
      </c>
      <c r="O504" s="22">
        <f>IF(N504="5",I504,0)</f>
        <v>0</v>
      </c>
      <c r="Z504" s="22">
        <f>IF(AD504=0,J504,0)</f>
        <v>0</v>
      </c>
      <c r="AA504" s="22">
        <f>IF(AD504=15,J504,0)</f>
        <v>0</v>
      </c>
      <c r="AB504" s="22">
        <f>IF(AD504=21,J504,0)</f>
        <v>0</v>
      </c>
      <c r="AD504" s="39">
        <v>15</v>
      </c>
      <c r="AE504" s="39">
        <f>G504*0.681042026050651</f>
        <v>0</v>
      </c>
      <c r="AF504" s="39">
        <f>G504*(1-0.681042026050651)</f>
        <v>0</v>
      </c>
      <c r="AM504" s="39">
        <f>F504*AE504</f>
        <v>0</v>
      </c>
      <c r="AN504" s="39">
        <f>F504*AF504</f>
        <v>0</v>
      </c>
      <c r="AO504" s="40" t="s">
        <v>1562</v>
      </c>
      <c r="AP504" s="40" t="s">
        <v>1597</v>
      </c>
      <c r="AQ504" s="31" t="s">
        <v>1609</v>
      </c>
    </row>
    <row r="505" ht="12.75">
      <c r="D505" s="18" t="s">
        <v>1093</v>
      </c>
    </row>
    <row r="506" spans="4:6" ht="10.5" customHeight="1">
      <c r="D506" s="17" t="s">
        <v>1094</v>
      </c>
      <c r="F506" s="23">
        <v>10.935</v>
      </c>
    </row>
    <row r="507" spans="1:43" ht="12.75">
      <c r="A507" s="5" t="s">
        <v>292</v>
      </c>
      <c r="B507" s="5" t="s">
        <v>590</v>
      </c>
      <c r="C507" s="5" t="s">
        <v>691</v>
      </c>
      <c r="D507" s="5" t="s">
        <v>1095</v>
      </c>
      <c r="E507" s="5" t="s">
        <v>1493</v>
      </c>
      <c r="F507" s="22">
        <v>6.54</v>
      </c>
      <c r="G507" s="22">
        <v>0</v>
      </c>
      <c r="H507" s="22">
        <f>F507*AE507</f>
        <v>0</v>
      </c>
      <c r="I507" s="22">
        <f>J507-H507</f>
        <v>0</v>
      </c>
      <c r="J507" s="22">
        <f>F507*G507</f>
        <v>0</v>
      </c>
      <c r="K507" s="22">
        <v>0.00272</v>
      </c>
      <c r="L507" s="22">
        <f>F507*K507</f>
        <v>0.0177888</v>
      </c>
      <c r="M507" s="35" t="s">
        <v>1523</v>
      </c>
      <c r="N507" s="35" t="s">
        <v>7</v>
      </c>
      <c r="O507" s="22">
        <f>IF(N507="5",I507,0)</f>
        <v>0</v>
      </c>
      <c r="Z507" s="22">
        <f>IF(AD507=0,J507,0)</f>
        <v>0</v>
      </c>
      <c r="AA507" s="22">
        <f>IF(AD507=15,J507,0)</f>
        <v>0</v>
      </c>
      <c r="AB507" s="22">
        <f>IF(AD507=21,J507,0)</f>
        <v>0</v>
      </c>
      <c r="AD507" s="39">
        <v>15</v>
      </c>
      <c r="AE507" s="39">
        <f>G507*0.85271012006861</f>
        <v>0</v>
      </c>
      <c r="AF507" s="39">
        <f>G507*(1-0.85271012006861)</f>
        <v>0</v>
      </c>
      <c r="AM507" s="39">
        <f>F507*AE507</f>
        <v>0</v>
      </c>
      <c r="AN507" s="39">
        <f>F507*AF507</f>
        <v>0</v>
      </c>
      <c r="AO507" s="40" t="s">
        <v>1562</v>
      </c>
      <c r="AP507" s="40" t="s">
        <v>1597</v>
      </c>
      <c r="AQ507" s="31" t="s">
        <v>1609</v>
      </c>
    </row>
    <row r="508" ht="12.75">
      <c r="D508" s="18" t="s">
        <v>1096</v>
      </c>
    </row>
    <row r="509" spans="1:43" ht="12.75">
      <c r="A509" s="5" t="s">
        <v>293</v>
      </c>
      <c r="B509" s="5" t="s">
        <v>590</v>
      </c>
      <c r="C509" s="5" t="s">
        <v>690</v>
      </c>
      <c r="D509" s="5" t="s">
        <v>1092</v>
      </c>
      <c r="E509" s="5" t="s">
        <v>1493</v>
      </c>
      <c r="F509" s="22">
        <v>6.54</v>
      </c>
      <c r="G509" s="22">
        <v>0</v>
      </c>
      <c r="H509" s="22">
        <f>F509*AE509</f>
        <v>0</v>
      </c>
      <c r="I509" s="22">
        <f>J509-H509</f>
        <v>0</v>
      </c>
      <c r="J509" s="22">
        <f>F509*G509</f>
        <v>0</v>
      </c>
      <c r="K509" s="22">
        <v>0.00368</v>
      </c>
      <c r="L509" s="22">
        <f>F509*K509</f>
        <v>0.0240672</v>
      </c>
      <c r="M509" s="35" t="s">
        <v>1523</v>
      </c>
      <c r="N509" s="35" t="s">
        <v>7</v>
      </c>
      <c r="O509" s="22">
        <f>IF(N509="5",I509,0)</f>
        <v>0</v>
      </c>
      <c r="Z509" s="22">
        <f>IF(AD509=0,J509,0)</f>
        <v>0</v>
      </c>
      <c r="AA509" s="22">
        <f>IF(AD509=15,J509,0)</f>
        <v>0</v>
      </c>
      <c r="AB509" s="22">
        <f>IF(AD509=21,J509,0)</f>
        <v>0</v>
      </c>
      <c r="AD509" s="39">
        <v>15</v>
      </c>
      <c r="AE509" s="39">
        <f>G509*0.681042026050651</f>
        <v>0</v>
      </c>
      <c r="AF509" s="39">
        <f>G509*(1-0.681042026050651)</f>
        <v>0</v>
      </c>
      <c r="AM509" s="39">
        <f>F509*AE509</f>
        <v>0</v>
      </c>
      <c r="AN509" s="39">
        <f>F509*AF509</f>
        <v>0</v>
      </c>
      <c r="AO509" s="40" t="s">
        <v>1562</v>
      </c>
      <c r="AP509" s="40" t="s">
        <v>1597</v>
      </c>
      <c r="AQ509" s="31" t="s">
        <v>1609</v>
      </c>
    </row>
    <row r="510" ht="12.75">
      <c r="D510" s="18" t="s">
        <v>1097</v>
      </c>
    </row>
    <row r="511" spans="1:37" ht="12.75">
      <c r="A511" s="4"/>
      <c r="B511" s="14" t="s">
        <v>590</v>
      </c>
      <c r="C511" s="14" t="s">
        <v>606</v>
      </c>
      <c r="D511" s="104" t="s">
        <v>978</v>
      </c>
      <c r="E511" s="105"/>
      <c r="F511" s="105"/>
      <c r="G511" s="105"/>
      <c r="H511" s="42">
        <f>SUM(H512:H515)</f>
        <v>0</v>
      </c>
      <c r="I511" s="42">
        <f>SUM(I512:I515)</f>
        <v>0</v>
      </c>
      <c r="J511" s="42">
        <f>H511+I511</f>
        <v>0</v>
      </c>
      <c r="K511" s="31"/>
      <c r="L511" s="42">
        <f>SUM(L512:L515)</f>
        <v>0.86987945</v>
      </c>
      <c r="M511" s="31"/>
      <c r="P511" s="42">
        <f>IF(Q511="PR",J511,SUM(O512:O515))</f>
        <v>0</v>
      </c>
      <c r="Q511" s="31" t="s">
        <v>1530</v>
      </c>
      <c r="R511" s="42">
        <f>IF(Q511="HS",H511,0)</f>
        <v>0</v>
      </c>
      <c r="S511" s="42">
        <f>IF(Q511="HS",I511-P511,0)</f>
        <v>0</v>
      </c>
      <c r="T511" s="42">
        <f>IF(Q511="PS",H511,0)</f>
        <v>0</v>
      </c>
      <c r="U511" s="42">
        <f>IF(Q511="PS",I511-P511,0)</f>
        <v>0</v>
      </c>
      <c r="V511" s="42">
        <f>IF(Q511="MP",H511,0)</f>
        <v>0</v>
      </c>
      <c r="W511" s="42">
        <f>IF(Q511="MP",I511-P511,0)</f>
        <v>0</v>
      </c>
      <c r="X511" s="42">
        <f>IF(Q511="OM",H511,0)</f>
        <v>0</v>
      </c>
      <c r="Y511" s="31" t="s">
        <v>590</v>
      </c>
      <c r="AI511" s="42">
        <f>SUM(Z512:Z515)</f>
        <v>0</v>
      </c>
      <c r="AJ511" s="42">
        <f>SUM(AA512:AA515)</f>
        <v>0</v>
      </c>
      <c r="AK511" s="42">
        <f>SUM(AB512:AB515)</f>
        <v>0</v>
      </c>
    </row>
    <row r="512" spans="1:43" ht="12.75">
      <c r="A512" s="5" t="s">
        <v>294</v>
      </c>
      <c r="B512" s="5" t="s">
        <v>590</v>
      </c>
      <c r="C512" s="5" t="s">
        <v>692</v>
      </c>
      <c r="D512" s="5" t="s">
        <v>1098</v>
      </c>
      <c r="E512" s="5" t="s">
        <v>1493</v>
      </c>
      <c r="F512" s="22">
        <v>189.31</v>
      </c>
      <c r="G512" s="22">
        <v>0</v>
      </c>
      <c r="H512" s="22">
        <f>F512*AE512</f>
        <v>0</v>
      </c>
      <c r="I512" s="22">
        <f>J512-H512</f>
        <v>0</v>
      </c>
      <c r="J512" s="22">
        <f>F512*G512</f>
        <v>0</v>
      </c>
      <c r="K512" s="22">
        <v>0.00443</v>
      </c>
      <c r="L512" s="22">
        <f>F512*K512</f>
        <v>0.8386433</v>
      </c>
      <c r="M512" s="35" t="s">
        <v>1523</v>
      </c>
      <c r="N512" s="35" t="s">
        <v>9</v>
      </c>
      <c r="O512" s="22">
        <f>IF(N512="5",I512,0)</f>
        <v>0</v>
      </c>
      <c r="Z512" s="22">
        <f>IF(AD512=0,J512,0)</f>
        <v>0</v>
      </c>
      <c r="AA512" s="22">
        <f>IF(AD512=15,J512,0)</f>
        <v>0</v>
      </c>
      <c r="AB512" s="22">
        <f>IF(AD512=21,J512,0)</f>
        <v>0</v>
      </c>
      <c r="AD512" s="39">
        <v>15</v>
      </c>
      <c r="AE512" s="39">
        <f>G512*0.734044007106738</f>
        <v>0</v>
      </c>
      <c r="AF512" s="39">
        <f>G512*(1-0.734044007106738)</f>
        <v>0</v>
      </c>
      <c r="AM512" s="39">
        <f>F512*AE512</f>
        <v>0</v>
      </c>
      <c r="AN512" s="39">
        <f>F512*AF512</f>
        <v>0</v>
      </c>
      <c r="AO512" s="40" t="s">
        <v>1542</v>
      </c>
      <c r="AP512" s="40" t="s">
        <v>1597</v>
      </c>
      <c r="AQ512" s="31" t="s">
        <v>1609</v>
      </c>
    </row>
    <row r="513" ht="12.75">
      <c r="D513" s="18" t="s">
        <v>1099</v>
      </c>
    </row>
    <row r="514" spans="4:6" ht="10.5" customHeight="1">
      <c r="D514" s="17" t="s">
        <v>1100</v>
      </c>
      <c r="F514" s="23">
        <v>189.31</v>
      </c>
    </row>
    <row r="515" spans="1:43" ht="12.75">
      <c r="A515" s="5" t="s">
        <v>295</v>
      </c>
      <c r="B515" s="5" t="s">
        <v>590</v>
      </c>
      <c r="C515" s="5" t="s">
        <v>693</v>
      </c>
      <c r="D515" s="5" t="s">
        <v>1101</v>
      </c>
      <c r="E515" s="5" t="s">
        <v>1493</v>
      </c>
      <c r="F515" s="22">
        <v>208.241</v>
      </c>
      <c r="G515" s="22">
        <v>0</v>
      </c>
      <c r="H515" s="22">
        <f>F515*AE515</f>
        <v>0</v>
      </c>
      <c r="I515" s="22">
        <f>J515-H515</f>
        <v>0</v>
      </c>
      <c r="J515" s="22">
        <f>F515*G515</f>
        <v>0</v>
      </c>
      <c r="K515" s="22">
        <v>0.00015</v>
      </c>
      <c r="L515" s="22">
        <f>F515*K515</f>
        <v>0.03123615</v>
      </c>
      <c r="M515" s="35" t="s">
        <v>1523</v>
      </c>
      <c r="N515" s="35" t="s">
        <v>7</v>
      </c>
      <c r="O515" s="22">
        <f>IF(N515="5",I515,0)</f>
        <v>0</v>
      </c>
      <c r="Z515" s="22">
        <f>IF(AD515=0,J515,0)</f>
        <v>0</v>
      </c>
      <c r="AA515" s="22">
        <f>IF(AD515=15,J515,0)</f>
        <v>0</v>
      </c>
      <c r="AB515" s="22">
        <f>IF(AD515=21,J515,0)</f>
        <v>0</v>
      </c>
      <c r="AD515" s="39">
        <v>15</v>
      </c>
      <c r="AE515" s="39">
        <f>G515*0.318322093953595</f>
        <v>0</v>
      </c>
      <c r="AF515" s="39">
        <f>G515*(1-0.318322093953595)</f>
        <v>0</v>
      </c>
      <c r="AM515" s="39">
        <f>F515*AE515</f>
        <v>0</v>
      </c>
      <c r="AN515" s="39">
        <f>F515*AF515</f>
        <v>0</v>
      </c>
      <c r="AO515" s="40" t="s">
        <v>1542</v>
      </c>
      <c r="AP515" s="40" t="s">
        <v>1597</v>
      </c>
      <c r="AQ515" s="31" t="s">
        <v>1609</v>
      </c>
    </row>
    <row r="516" spans="4:6" ht="10.5" customHeight="1">
      <c r="D516" s="17" t="s">
        <v>1102</v>
      </c>
      <c r="F516" s="23">
        <v>208.241</v>
      </c>
    </row>
    <row r="517" spans="1:37" ht="12.75">
      <c r="A517" s="4"/>
      <c r="B517" s="14" t="s">
        <v>590</v>
      </c>
      <c r="C517" s="14" t="s">
        <v>694</v>
      </c>
      <c r="D517" s="104" t="s">
        <v>1103</v>
      </c>
      <c r="E517" s="105"/>
      <c r="F517" s="105"/>
      <c r="G517" s="105"/>
      <c r="H517" s="42">
        <f>SUM(H518:H529)</f>
        <v>0</v>
      </c>
      <c r="I517" s="42">
        <f>SUM(I518:I529)</f>
        <v>0</v>
      </c>
      <c r="J517" s="42">
        <f>H517+I517</f>
        <v>0</v>
      </c>
      <c r="K517" s="31"/>
      <c r="L517" s="42">
        <f>SUM(L518:L529)</f>
        <v>0.03921000000000001</v>
      </c>
      <c r="M517" s="31"/>
      <c r="P517" s="42">
        <f>IF(Q517="PR",J517,SUM(O518:O529))</f>
        <v>0</v>
      </c>
      <c r="Q517" s="31" t="s">
        <v>1530</v>
      </c>
      <c r="R517" s="42">
        <f>IF(Q517="HS",H517,0)</f>
        <v>0</v>
      </c>
      <c r="S517" s="42">
        <f>IF(Q517="HS",I517-P517,0)</f>
        <v>0</v>
      </c>
      <c r="T517" s="42">
        <f>IF(Q517="PS",H517,0)</f>
        <v>0</v>
      </c>
      <c r="U517" s="42">
        <f>IF(Q517="PS",I517-P517,0)</f>
        <v>0</v>
      </c>
      <c r="V517" s="42">
        <f>IF(Q517="MP",H517,0)</f>
        <v>0</v>
      </c>
      <c r="W517" s="42">
        <f>IF(Q517="MP",I517-P517,0)</f>
        <v>0</v>
      </c>
      <c r="X517" s="42">
        <f>IF(Q517="OM",H517,0)</f>
        <v>0</v>
      </c>
      <c r="Y517" s="31" t="s">
        <v>590</v>
      </c>
      <c r="AI517" s="42">
        <f>SUM(Z518:Z529)</f>
        <v>0</v>
      </c>
      <c r="AJ517" s="42">
        <f>SUM(AA518:AA529)</f>
        <v>0</v>
      </c>
      <c r="AK517" s="42">
        <f>SUM(AB518:AB529)</f>
        <v>0</v>
      </c>
    </row>
    <row r="518" spans="1:43" ht="12.75">
      <c r="A518" s="5" t="s">
        <v>296</v>
      </c>
      <c r="B518" s="5" t="s">
        <v>590</v>
      </c>
      <c r="C518" s="5" t="s">
        <v>695</v>
      </c>
      <c r="D518" s="5" t="s">
        <v>1104</v>
      </c>
      <c r="E518" s="5" t="s">
        <v>1494</v>
      </c>
      <c r="F518" s="22">
        <v>3</v>
      </c>
      <c r="G518" s="22">
        <v>0</v>
      </c>
      <c r="H518" s="22">
        <f>F518*AE518</f>
        <v>0</v>
      </c>
      <c r="I518" s="22">
        <f>J518-H518</f>
        <v>0</v>
      </c>
      <c r="J518" s="22">
        <f>F518*G518</f>
        <v>0</v>
      </c>
      <c r="K518" s="22">
        <v>4E-05</v>
      </c>
      <c r="L518" s="22">
        <f>F518*K518</f>
        <v>0.00012000000000000002</v>
      </c>
      <c r="M518" s="35" t="s">
        <v>1523</v>
      </c>
      <c r="N518" s="35" t="s">
        <v>7</v>
      </c>
      <c r="O518" s="22">
        <f>IF(N518="5",I518,0)</f>
        <v>0</v>
      </c>
      <c r="Z518" s="22">
        <f>IF(AD518=0,J518,0)</f>
        <v>0</v>
      </c>
      <c r="AA518" s="22">
        <f>IF(AD518=15,J518,0)</f>
        <v>0</v>
      </c>
      <c r="AB518" s="22">
        <f>IF(AD518=21,J518,0)</f>
        <v>0</v>
      </c>
      <c r="AD518" s="39">
        <v>15</v>
      </c>
      <c r="AE518" s="39">
        <f>G518*0</f>
        <v>0</v>
      </c>
      <c r="AF518" s="39">
        <f>G518*(1-0)</f>
        <v>0</v>
      </c>
      <c r="AM518" s="39">
        <f>F518*AE518</f>
        <v>0</v>
      </c>
      <c r="AN518" s="39">
        <f>F518*AF518</f>
        <v>0</v>
      </c>
      <c r="AO518" s="40" t="s">
        <v>1563</v>
      </c>
      <c r="AP518" s="40" t="s">
        <v>1604</v>
      </c>
      <c r="AQ518" s="31" t="s">
        <v>1609</v>
      </c>
    </row>
    <row r="519" ht="12.75">
      <c r="D519" s="18" t="s">
        <v>1310</v>
      </c>
    </row>
    <row r="520" spans="1:43" ht="12.75">
      <c r="A520" s="5" t="s">
        <v>297</v>
      </c>
      <c r="B520" s="5" t="s">
        <v>590</v>
      </c>
      <c r="C520" s="5" t="s">
        <v>696</v>
      </c>
      <c r="D520" s="5" t="s">
        <v>1106</v>
      </c>
      <c r="E520" s="5" t="s">
        <v>1495</v>
      </c>
      <c r="F520" s="22">
        <v>12</v>
      </c>
      <c r="G520" s="22">
        <v>0</v>
      </c>
      <c r="H520" s="22">
        <f>F520*AE520</f>
        <v>0</v>
      </c>
      <c r="I520" s="22">
        <f>J520-H520</f>
        <v>0</v>
      </c>
      <c r="J520" s="22">
        <f>F520*G520</f>
        <v>0</v>
      </c>
      <c r="K520" s="22">
        <v>0</v>
      </c>
      <c r="L520" s="22">
        <f>F520*K520</f>
        <v>0</v>
      </c>
      <c r="M520" s="35" t="s">
        <v>1523</v>
      </c>
      <c r="N520" s="35" t="s">
        <v>7</v>
      </c>
      <c r="O520" s="22">
        <f>IF(N520="5",I520,0)</f>
        <v>0</v>
      </c>
      <c r="Z520" s="22">
        <f>IF(AD520=0,J520,0)</f>
        <v>0</v>
      </c>
      <c r="AA520" s="22">
        <f>IF(AD520=15,J520,0)</f>
        <v>0</v>
      </c>
      <c r="AB520" s="22">
        <f>IF(AD520=21,J520,0)</f>
        <v>0</v>
      </c>
      <c r="AD520" s="39">
        <v>15</v>
      </c>
      <c r="AE520" s="39">
        <f>G520*0.0247086247086247</f>
        <v>0</v>
      </c>
      <c r="AF520" s="39">
        <f>G520*(1-0.0247086247086247)</f>
        <v>0</v>
      </c>
      <c r="AM520" s="39">
        <f>F520*AE520</f>
        <v>0</v>
      </c>
      <c r="AN520" s="39">
        <f>F520*AF520</f>
        <v>0</v>
      </c>
      <c r="AO520" s="40" t="s">
        <v>1563</v>
      </c>
      <c r="AP520" s="40" t="s">
        <v>1604</v>
      </c>
      <c r="AQ520" s="31" t="s">
        <v>1609</v>
      </c>
    </row>
    <row r="521" spans="1:43" ht="12.75">
      <c r="A521" s="5" t="s">
        <v>298</v>
      </c>
      <c r="B521" s="5" t="s">
        <v>590</v>
      </c>
      <c r="C521" s="5" t="s">
        <v>697</v>
      </c>
      <c r="D521" s="5" t="s">
        <v>1107</v>
      </c>
      <c r="E521" s="5" t="s">
        <v>1494</v>
      </c>
      <c r="F521" s="22">
        <v>3</v>
      </c>
      <c r="G521" s="22">
        <v>0</v>
      </c>
      <c r="H521" s="22">
        <f>F521*AE521</f>
        <v>0</v>
      </c>
      <c r="I521" s="22">
        <f>J521-H521</f>
        <v>0</v>
      </c>
      <c r="J521" s="22">
        <f>F521*G521</f>
        <v>0</v>
      </c>
      <c r="K521" s="22">
        <v>2E-05</v>
      </c>
      <c r="L521" s="22">
        <f>F521*K521</f>
        <v>6.000000000000001E-05</v>
      </c>
      <c r="M521" s="35" t="s">
        <v>1523</v>
      </c>
      <c r="N521" s="35" t="s">
        <v>7</v>
      </c>
      <c r="O521" s="22">
        <f>IF(N521="5",I521,0)</f>
        <v>0</v>
      </c>
      <c r="Z521" s="22">
        <f>IF(AD521=0,J521,0)</f>
        <v>0</v>
      </c>
      <c r="AA521" s="22">
        <f>IF(AD521=15,J521,0)</f>
        <v>0</v>
      </c>
      <c r="AB521" s="22">
        <f>IF(AD521=21,J521,0)</f>
        <v>0</v>
      </c>
      <c r="AD521" s="39">
        <v>15</v>
      </c>
      <c r="AE521" s="39">
        <f>G521*0</f>
        <v>0</v>
      </c>
      <c r="AF521" s="39">
        <f>G521*(1-0)</f>
        <v>0</v>
      </c>
      <c r="AM521" s="39">
        <f>F521*AE521</f>
        <v>0</v>
      </c>
      <c r="AN521" s="39">
        <f>F521*AF521</f>
        <v>0</v>
      </c>
      <c r="AO521" s="40" t="s">
        <v>1563</v>
      </c>
      <c r="AP521" s="40" t="s">
        <v>1604</v>
      </c>
      <c r="AQ521" s="31" t="s">
        <v>1609</v>
      </c>
    </row>
    <row r="522" ht="12.75">
      <c r="D522" s="18" t="s">
        <v>1311</v>
      </c>
    </row>
    <row r="523" spans="1:43" ht="12.75">
      <c r="A523" s="6" t="s">
        <v>299</v>
      </c>
      <c r="B523" s="6" t="s">
        <v>590</v>
      </c>
      <c r="C523" s="6" t="s">
        <v>698</v>
      </c>
      <c r="D523" s="6" t="s">
        <v>1109</v>
      </c>
      <c r="E523" s="6" t="s">
        <v>1494</v>
      </c>
      <c r="F523" s="24">
        <v>6</v>
      </c>
      <c r="G523" s="24">
        <v>0</v>
      </c>
      <c r="H523" s="24">
        <f aca="true" t="shared" si="102" ref="H523:H529">F523*AE523</f>
        <v>0</v>
      </c>
      <c r="I523" s="24">
        <f aca="true" t="shared" si="103" ref="I523:I529">J523-H523</f>
        <v>0</v>
      </c>
      <c r="J523" s="24">
        <f aca="true" t="shared" si="104" ref="J523:J529">F523*G523</f>
        <v>0</v>
      </c>
      <c r="K523" s="24">
        <v>0.0003</v>
      </c>
      <c r="L523" s="24">
        <f aca="true" t="shared" si="105" ref="L523:L529">F523*K523</f>
        <v>0.0018</v>
      </c>
      <c r="M523" s="36" t="s">
        <v>1523</v>
      </c>
      <c r="N523" s="36" t="s">
        <v>1526</v>
      </c>
      <c r="O523" s="24">
        <f aca="true" t="shared" si="106" ref="O523:O529">IF(N523="5",I523,0)</f>
        <v>0</v>
      </c>
      <c r="Z523" s="24">
        <f aca="true" t="shared" si="107" ref="Z523:Z529">IF(AD523=0,J523,0)</f>
        <v>0</v>
      </c>
      <c r="AA523" s="24">
        <f aca="true" t="shared" si="108" ref="AA523:AA529">IF(AD523=15,J523,0)</f>
        <v>0</v>
      </c>
      <c r="AB523" s="24">
        <f aca="true" t="shared" si="109" ref="AB523:AB529">IF(AD523=21,J523,0)</f>
        <v>0</v>
      </c>
      <c r="AD523" s="39">
        <v>15</v>
      </c>
      <c r="AE523" s="39">
        <f aca="true" t="shared" si="110" ref="AE523:AE529">G523*1</f>
        <v>0</v>
      </c>
      <c r="AF523" s="39">
        <f aca="true" t="shared" si="111" ref="AF523:AF529">G523*(1-1)</f>
        <v>0</v>
      </c>
      <c r="AM523" s="39">
        <f aca="true" t="shared" si="112" ref="AM523:AM529">F523*AE523</f>
        <v>0</v>
      </c>
      <c r="AN523" s="39">
        <f aca="true" t="shared" si="113" ref="AN523:AN529">F523*AF523</f>
        <v>0</v>
      </c>
      <c r="AO523" s="40" t="s">
        <v>1563</v>
      </c>
      <c r="AP523" s="40" t="s">
        <v>1604</v>
      </c>
      <c r="AQ523" s="31" t="s">
        <v>1609</v>
      </c>
    </row>
    <row r="524" spans="1:43" ht="12.75">
      <c r="A524" s="6" t="s">
        <v>300</v>
      </c>
      <c r="B524" s="6" t="s">
        <v>590</v>
      </c>
      <c r="C524" s="6" t="s">
        <v>699</v>
      </c>
      <c r="D524" s="6" t="s">
        <v>1110</v>
      </c>
      <c r="E524" s="6" t="s">
        <v>1494</v>
      </c>
      <c r="F524" s="24">
        <v>30</v>
      </c>
      <c r="G524" s="24">
        <v>0</v>
      </c>
      <c r="H524" s="24">
        <f t="shared" si="102"/>
        <v>0</v>
      </c>
      <c r="I524" s="24">
        <f t="shared" si="103"/>
        <v>0</v>
      </c>
      <c r="J524" s="24">
        <f t="shared" si="104"/>
        <v>0</v>
      </c>
      <c r="K524" s="24">
        <v>0.00108</v>
      </c>
      <c r="L524" s="24">
        <f t="shared" si="105"/>
        <v>0.0324</v>
      </c>
      <c r="M524" s="36" t="s">
        <v>1523</v>
      </c>
      <c r="N524" s="36" t="s">
        <v>1526</v>
      </c>
      <c r="O524" s="24">
        <f t="shared" si="106"/>
        <v>0</v>
      </c>
      <c r="Z524" s="24">
        <f t="shared" si="107"/>
        <v>0</v>
      </c>
      <c r="AA524" s="24">
        <f t="shared" si="108"/>
        <v>0</v>
      </c>
      <c r="AB524" s="24">
        <f t="shared" si="109"/>
        <v>0</v>
      </c>
      <c r="AD524" s="39">
        <v>15</v>
      </c>
      <c r="AE524" s="39">
        <f t="shared" si="110"/>
        <v>0</v>
      </c>
      <c r="AF524" s="39">
        <f t="shared" si="111"/>
        <v>0</v>
      </c>
      <c r="AM524" s="39">
        <f t="shared" si="112"/>
        <v>0</v>
      </c>
      <c r="AN524" s="39">
        <f t="shared" si="113"/>
        <v>0</v>
      </c>
      <c r="AO524" s="40" t="s">
        <v>1563</v>
      </c>
      <c r="AP524" s="40" t="s">
        <v>1604</v>
      </c>
      <c r="AQ524" s="31" t="s">
        <v>1609</v>
      </c>
    </row>
    <row r="525" spans="1:43" ht="12.75">
      <c r="A525" s="6" t="s">
        <v>301</v>
      </c>
      <c r="B525" s="6" t="s">
        <v>590</v>
      </c>
      <c r="C525" s="6" t="s">
        <v>700</v>
      </c>
      <c r="D525" s="6" t="s">
        <v>1111</v>
      </c>
      <c r="E525" s="6" t="s">
        <v>1494</v>
      </c>
      <c r="F525" s="24">
        <v>12</v>
      </c>
      <c r="G525" s="24">
        <v>0</v>
      </c>
      <c r="H525" s="24">
        <f t="shared" si="102"/>
        <v>0</v>
      </c>
      <c r="I525" s="24">
        <f t="shared" si="103"/>
        <v>0</v>
      </c>
      <c r="J525" s="24">
        <f t="shared" si="104"/>
        <v>0</v>
      </c>
      <c r="K525" s="24">
        <v>8E-05</v>
      </c>
      <c r="L525" s="24">
        <f t="shared" si="105"/>
        <v>0.0009600000000000001</v>
      </c>
      <c r="M525" s="36" t="s">
        <v>1523</v>
      </c>
      <c r="N525" s="36" t="s">
        <v>1526</v>
      </c>
      <c r="O525" s="24">
        <f t="shared" si="106"/>
        <v>0</v>
      </c>
      <c r="Z525" s="24">
        <f t="shared" si="107"/>
        <v>0</v>
      </c>
      <c r="AA525" s="24">
        <f t="shared" si="108"/>
        <v>0</v>
      </c>
      <c r="AB525" s="24">
        <f t="shared" si="109"/>
        <v>0</v>
      </c>
      <c r="AD525" s="39">
        <v>15</v>
      </c>
      <c r="AE525" s="39">
        <f t="shared" si="110"/>
        <v>0</v>
      </c>
      <c r="AF525" s="39">
        <f t="shared" si="111"/>
        <v>0</v>
      </c>
      <c r="AM525" s="39">
        <f t="shared" si="112"/>
        <v>0</v>
      </c>
      <c r="AN525" s="39">
        <f t="shared" si="113"/>
        <v>0</v>
      </c>
      <c r="AO525" s="40" t="s">
        <v>1563</v>
      </c>
      <c r="AP525" s="40" t="s">
        <v>1604</v>
      </c>
      <c r="AQ525" s="31" t="s">
        <v>1609</v>
      </c>
    </row>
    <row r="526" spans="1:43" ht="12.75">
      <c r="A526" s="6" t="s">
        <v>302</v>
      </c>
      <c r="B526" s="6" t="s">
        <v>590</v>
      </c>
      <c r="C526" s="6" t="s">
        <v>701</v>
      </c>
      <c r="D526" s="6" t="s">
        <v>1112</v>
      </c>
      <c r="E526" s="6" t="s">
        <v>1494</v>
      </c>
      <c r="F526" s="24">
        <v>3</v>
      </c>
      <c r="G526" s="24">
        <v>0</v>
      </c>
      <c r="H526" s="24">
        <f t="shared" si="102"/>
        <v>0</v>
      </c>
      <c r="I526" s="24">
        <f t="shared" si="103"/>
        <v>0</v>
      </c>
      <c r="J526" s="24">
        <f t="shared" si="104"/>
        <v>0</v>
      </c>
      <c r="K526" s="24">
        <v>0.00025</v>
      </c>
      <c r="L526" s="24">
        <f t="shared" si="105"/>
        <v>0.00075</v>
      </c>
      <c r="M526" s="36" t="s">
        <v>1523</v>
      </c>
      <c r="N526" s="36" t="s">
        <v>1526</v>
      </c>
      <c r="O526" s="24">
        <f t="shared" si="106"/>
        <v>0</v>
      </c>
      <c r="Z526" s="24">
        <f t="shared" si="107"/>
        <v>0</v>
      </c>
      <c r="AA526" s="24">
        <f t="shared" si="108"/>
        <v>0</v>
      </c>
      <c r="AB526" s="24">
        <f t="shared" si="109"/>
        <v>0</v>
      </c>
      <c r="AD526" s="39">
        <v>15</v>
      </c>
      <c r="AE526" s="39">
        <f t="shared" si="110"/>
        <v>0</v>
      </c>
      <c r="AF526" s="39">
        <f t="shared" si="111"/>
        <v>0</v>
      </c>
      <c r="AM526" s="39">
        <f t="shared" si="112"/>
        <v>0</v>
      </c>
      <c r="AN526" s="39">
        <f t="shared" si="113"/>
        <v>0</v>
      </c>
      <c r="AO526" s="40" t="s">
        <v>1563</v>
      </c>
      <c r="AP526" s="40" t="s">
        <v>1604</v>
      </c>
      <c r="AQ526" s="31" t="s">
        <v>1609</v>
      </c>
    </row>
    <row r="527" spans="1:43" ht="12.75">
      <c r="A527" s="6" t="s">
        <v>303</v>
      </c>
      <c r="B527" s="6" t="s">
        <v>590</v>
      </c>
      <c r="C527" s="6" t="s">
        <v>702</v>
      </c>
      <c r="D527" s="6" t="s">
        <v>1113</v>
      </c>
      <c r="E527" s="6" t="s">
        <v>1494</v>
      </c>
      <c r="F527" s="24">
        <v>18</v>
      </c>
      <c r="G527" s="24">
        <v>0</v>
      </c>
      <c r="H527" s="24">
        <f t="shared" si="102"/>
        <v>0</v>
      </c>
      <c r="I527" s="24">
        <f t="shared" si="103"/>
        <v>0</v>
      </c>
      <c r="J527" s="24">
        <f t="shared" si="104"/>
        <v>0</v>
      </c>
      <c r="K527" s="24">
        <v>5E-05</v>
      </c>
      <c r="L527" s="24">
        <f t="shared" si="105"/>
        <v>0.0009000000000000001</v>
      </c>
      <c r="M527" s="36" t="s">
        <v>1523</v>
      </c>
      <c r="N527" s="36" t="s">
        <v>1526</v>
      </c>
      <c r="O527" s="24">
        <f t="shared" si="106"/>
        <v>0</v>
      </c>
      <c r="Z527" s="24">
        <f t="shared" si="107"/>
        <v>0</v>
      </c>
      <c r="AA527" s="24">
        <f t="shared" si="108"/>
        <v>0</v>
      </c>
      <c r="AB527" s="24">
        <f t="shared" si="109"/>
        <v>0</v>
      </c>
      <c r="AD527" s="39">
        <v>15</v>
      </c>
      <c r="AE527" s="39">
        <f t="shared" si="110"/>
        <v>0</v>
      </c>
      <c r="AF527" s="39">
        <f t="shared" si="111"/>
        <v>0</v>
      </c>
      <c r="AM527" s="39">
        <f t="shared" si="112"/>
        <v>0</v>
      </c>
      <c r="AN527" s="39">
        <f t="shared" si="113"/>
        <v>0</v>
      </c>
      <c r="AO527" s="40" t="s">
        <v>1563</v>
      </c>
      <c r="AP527" s="40" t="s">
        <v>1604</v>
      </c>
      <c r="AQ527" s="31" t="s">
        <v>1609</v>
      </c>
    </row>
    <row r="528" spans="1:43" ht="12.75">
      <c r="A528" s="6" t="s">
        <v>304</v>
      </c>
      <c r="B528" s="6" t="s">
        <v>590</v>
      </c>
      <c r="C528" s="6" t="s">
        <v>703</v>
      </c>
      <c r="D528" s="6" t="s">
        <v>1114</v>
      </c>
      <c r="E528" s="6" t="s">
        <v>1494</v>
      </c>
      <c r="F528" s="24">
        <v>12</v>
      </c>
      <c r="G528" s="24">
        <v>0</v>
      </c>
      <c r="H528" s="24">
        <f t="shared" si="102"/>
        <v>0</v>
      </c>
      <c r="I528" s="24">
        <f t="shared" si="103"/>
        <v>0</v>
      </c>
      <c r="J528" s="24">
        <f t="shared" si="104"/>
        <v>0</v>
      </c>
      <c r="K528" s="24">
        <v>5E-05</v>
      </c>
      <c r="L528" s="24">
        <f t="shared" si="105"/>
        <v>0.0006000000000000001</v>
      </c>
      <c r="M528" s="36" t="s">
        <v>1523</v>
      </c>
      <c r="N528" s="36" t="s">
        <v>1526</v>
      </c>
      <c r="O528" s="24">
        <f t="shared" si="106"/>
        <v>0</v>
      </c>
      <c r="Z528" s="24">
        <f t="shared" si="107"/>
        <v>0</v>
      </c>
      <c r="AA528" s="24">
        <f t="shared" si="108"/>
        <v>0</v>
      </c>
      <c r="AB528" s="24">
        <f t="shared" si="109"/>
        <v>0</v>
      </c>
      <c r="AD528" s="39">
        <v>15</v>
      </c>
      <c r="AE528" s="39">
        <f t="shared" si="110"/>
        <v>0</v>
      </c>
      <c r="AF528" s="39">
        <f t="shared" si="111"/>
        <v>0</v>
      </c>
      <c r="AM528" s="39">
        <f t="shared" si="112"/>
        <v>0</v>
      </c>
      <c r="AN528" s="39">
        <f t="shared" si="113"/>
        <v>0</v>
      </c>
      <c r="AO528" s="40" t="s">
        <v>1563</v>
      </c>
      <c r="AP528" s="40" t="s">
        <v>1604</v>
      </c>
      <c r="AQ528" s="31" t="s">
        <v>1609</v>
      </c>
    </row>
    <row r="529" spans="1:43" ht="12.75">
      <c r="A529" s="6" t="s">
        <v>305</v>
      </c>
      <c r="B529" s="6" t="s">
        <v>590</v>
      </c>
      <c r="C529" s="6" t="s">
        <v>704</v>
      </c>
      <c r="D529" s="6" t="s">
        <v>1115</v>
      </c>
      <c r="E529" s="6" t="s">
        <v>1494</v>
      </c>
      <c r="F529" s="24">
        <v>9</v>
      </c>
      <c r="G529" s="24">
        <v>0</v>
      </c>
      <c r="H529" s="24">
        <f t="shared" si="102"/>
        <v>0</v>
      </c>
      <c r="I529" s="24">
        <f t="shared" si="103"/>
        <v>0</v>
      </c>
      <c r="J529" s="24">
        <f t="shared" si="104"/>
        <v>0</v>
      </c>
      <c r="K529" s="24">
        <v>0.00018</v>
      </c>
      <c r="L529" s="24">
        <f t="shared" si="105"/>
        <v>0.0016200000000000001</v>
      </c>
      <c r="M529" s="36" t="s">
        <v>1523</v>
      </c>
      <c r="N529" s="36" t="s">
        <v>1526</v>
      </c>
      <c r="O529" s="24">
        <f t="shared" si="106"/>
        <v>0</v>
      </c>
      <c r="Z529" s="24">
        <f t="shared" si="107"/>
        <v>0</v>
      </c>
      <c r="AA529" s="24">
        <f t="shared" si="108"/>
        <v>0</v>
      </c>
      <c r="AB529" s="24">
        <f t="shared" si="109"/>
        <v>0</v>
      </c>
      <c r="AD529" s="39">
        <v>15</v>
      </c>
      <c r="AE529" s="39">
        <f t="shared" si="110"/>
        <v>0</v>
      </c>
      <c r="AF529" s="39">
        <f t="shared" si="111"/>
        <v>0</v>
      </c>
      <c r="AM529" s="39">
        <f t="shared" si="112"/>
        <v>0</v>
      </c>
      <c r="AN529" s="39">
        <f t="shared" si="113"/>
        <v>0</v>
      </c>
      <c r="AO529" s="40" t="s">
        <v>1563</v>
      </c>
      <c r="AP529" s="40" t="s">
        <v>1604</v>
      </c>
      <c r="AQ529" s="31" t="s">
        <v>1609</v>
      </c>
    </row>
    <row r="530" spans="1:37" ht="12.75">
      <c r="A530" s="4"/>
      <c r="B530" s="14" t="s">
        <v>590</v>
      </c>
      <c r="C530" s="14" t="s">
        <v>705</v>
      </c>
      <c r="D530" s="104" t="s">
        <v>1116</v>
      </c>
      <c r="E530" s="105"/>
      <c r="F530" s="105"/>
      <c r="G530" s="105"/>
      <c r="H530" s="42">
        <f>SUM(H531:H554)</f>
        <v>0</v>
      </c>
      <c r="I530" s="42">
        <f>SUM(I531:I554)</f>
        <v>0</v>
      </c>
      <c r="J530" s="42">
        <f>H530+I530</f>
        <v>0</v>
      </c>
      <c r="K530" s="31"/>
      <c r="L530" s="42">
        <f>SUM(L531:L554)</f>
        <v>0.11600999999999999</v>
      </c>
      <c r="M530" s="31"/>
      <c r="P530" s="42">
        <f>IF(Q530="PR",J530,SUM(O531:O554))</f>
        <v>0</v>
      </c>
      <c r="Q530" s="31" t="s">
        <v>1530</v>
      </c>
      <c r="R530" s="42">
        <f>IF(Q530="HS",H530,0)</f>
        <v>0</v>
      </c>
      <c r="S530" s="42">
        <f>IF(Q530="HS",I530-P530,0)</f>
        <v>0</v>
      </c>
      <c r="T530" s="42">
        <f>IF(Q530="PS",H530,0)</f>
        <v>0</v>
      </c>
      <c r="U530" s="42">
        <f>IF(Q530="PS",I530-P530,0)</f>
        <v>0</v>
      </c>
      <c r="V530" s="42">
        <f>IF(Q530="MP",H530,0)</f>
        <v>0</v>
      </c>
      <c r="W530" s="42">
        <f>IF(Q530="MP",I530-P530,0)</f>
        <v>0</v>
      </c>
      <c r="X530" s="42">
        <f>IF(Q530="OM",H530,0)</f>
        <v>0</v>
      </c>
      <c r="Y530" s="31" t="s">
        <v>590</v>
      </c>
      <c r="AI530" s="42">
        <f>SUM(Z531:Z554)</f>
        <v>0</v>
      </c>
      <c r="AJ530" s="42">
        <f>SUM(AA531:AA554)</f>
        <v>0</v>
      </c>
      <c r="AK530" s="42">
        <f>SUM(AB531:AB554)</f>
        <v>0</v>
      </c>
    </row>
    <row r="531" spans="1:43" ht="12.75">
      <c r="A531" s="5" t="s">
        <v>306</v>
      </c>
      <c r="B531" s="5" t="s">
        <v>590</v>
      </c>
      <c r="C531" s="5" t="s">
        <v>723</v>
      </c>
      <c r="D531" s="5" t="s">
        <v>1136</v>
      </c>
      <c r="E531" s="5" t="s">
        <v>1494</v>
      </c>
      <c r="F531" s="22">
        <v>3</v>
      </c>
      <c r="G531" s="22">
        <v>0</v>
      </c>
      <c r="H531" s="22">
        <f aca="true" t="shared" si="114" ref="H531:H536">F531*AE531</f>
        <v>0</v>
      </c>
      <c r="I531" s="22">
        <f aca="true" t="shared" si="115" ref="I531:I536">J531-H531</f>
        <v>0</v>
      </c>
      <c r="J531" s="22">
        <f aca="true" t="shared" si="116" ref="J531:J536">F531*G531</f>
        <v>0</v>
      </c>
      <c r="K531" s="22">
        <v>0.00194</v>
      </c>
      <c r="L531" s="22">
        <f aca="true" t="shared" si="117" ref="L531:L536">F531*K531</f>
        <v>0.0058200000000000005</v>
      </c>
      <c r="M531" s="35" t="s">
        <v>1523</v>
      </c>
      <c r="N531" s="35" t="s">
        <v>7</v>
      </c>
      <c r="O531" s="22">
        <f aca="true" t="shared" si="118" ref="O531:O536">IF(N531="5",I531,0)</f>
        <v>0</v>
      </c>
      <c r="Z531" s="22">
        <f aca="true" t="shared" si="119" ref="Z531:Z536">IF(AD531=0,J531,0)</f>
        <v>0</v>
      </c>
      <c r="AA531" s="22">
        <f aca="true" t="shared" si="120" ref="AA531:AA536">IF(AD531=15,J531,0)</f>
        <v>0</v>
      </c>
      <c r="AB531" s="22">
        <f aca="true" t="shared" si="121" ref="AB531:AB536">IF(AD531=21,J531,0)</f>
        <v>0</v>
      </c>
      <c r="AD531" s="39">
        <v>15</v>
      </c>
      <c r="AE531" s="39">
        <f>G531*0.490293542074364</f>
        <v>0</v>
      </c>
      <c r="AF531" s="39">
        <f>G531*(1-0.490293542074364)</f>
        <v>0</v>
      </c>
      <c r="AM531" s="39">
        <f aca="true" t="shared" si="122" ref="AM531:AM536">F531*AE531</f>
        <v>0</v>
      </c>
      <c r="AN531" s="39">
        <f aca="true" t="shared" si="123" ref="AN531:AN536">F531*AF531</f>
        <v>0</v>
      </c>
      <c r="AO531" s="40" t="s">
        <v>1564</v>
      </c>
      <c r="AP531" s="40" t="s">
        <v>1604</v>
      </c>
      <c r="AQ531" s="31" t="s">
        <v>1609</v>
      </c>
    </row>
    <row r="532" spans="1:43" ht="12.75">
      <c r="A532" s="6" t="s">
        <v>307</v>
      </c>
      <c r="B532" s="6" t="s">
        <v>590</v>
      </c>
      <c r="C532" s="6" t="s">
        <v>724</v>
      </c>
      <c r="D532" s="6" t="s">
        <v>1137</v>
      </c>
      <c r="E532" s="6" t="s">
        <v>1494</v>
      </c>
      <c r="F532" s="24">
        <v>3</v>
      </c>
      <c r="G532" s="24">
        <v>0</v>
      </c>
      <c r="H532" s="24">
        <f t="shared" si="114"/>
        <v>0</v>
      </c>
      <c r="I532" s="24">
        <f t="shared" si="115"/>
        <v>0</v>
      </c>
      <c r="J532" s="24">
        <f t="shared" si="116"/>
        <v>0</v>
      </c>
      <c r="K532" s="24">
        <v>0.00053</v>
      </c>
      <c r="L532" s="24">
        <f t="shared" si="117"/>
        <v>0.0015899999999999998</v>
      </c>
      <c r="M532" s="36" t="s">
        <v>1523</v>
      </c>
      <c r="N532" s="36" t="s">
        <v>1526</v>
      </c>
      <c r="O532" s="24">
        <f t="shared" si="118"/>
        <v>0</v>
      </c>
      <c r="Z532" s="24">
        <f t="shared" si="119"/>
        <v>0</v>
      </c>
      <c r="AA532" s="24">
        <f t="shared" si="120"/>
        <v>0</v>
      </c>
      <c r="AB532" s="24">
        <f t="shared" si="121"/>
        <v>0</v>
      </c>
      <c r="AD532" s="39">
        <v>15</v>
      </c>
      <c r="AE532" s="39">
        <f>G532*1</f>
        <v>0</v>
      </c>
      <c r="AF532" s="39">
        <f>G532*(1-1)</f>
        <v>0</v>
      </c>
      <c r="AM532" s="39">
        <f t="shared" si="122"/>
        <v>0</v>
      </c>
      <c r="AN532" s="39">
        <f t="shared" si="123"/>
        <v>0</v>
      </c>
      <c r="AO532" s="40" t="s">
        <v>1564</v>
      </c>
      <c r="AP532" s="40" t="s">
        <v>1604</v>
      </c>
      <c r="AQ532" s="31" t="s">
        <v>1609</v>
      </c>
    </row>
    <row r="533" spans="1:43" ht="12.75">
      <c r="A533" s="5" t="s">
        <v>308</v>
      </c>
      <c r="B533" s="5" t="s">
        <v>590</v>
      </c>
      <c r="C533" s="5" t="s">
        <v>714</v>
      </c>
      <c r="D533" s="5" t="s">
        <v>1125</v>
      </c>
      <c r="E533" s="5" t="s">
        <v>1494</v>
      </c>
      <c r="F533" s="22">
        <v>6</v>
      </c>
      <c r="G533" s="22">
        <v>0</v>
      </c>
      <c r="H533" s="22">
        <f t="shared" si="114"/>
        <v>0</v>
      </c>
      <c r="I533" s="22">
        <f t="shared" si="115"/>
        <v>0</v>
      </c>
      <c r="J533" s="22">
        <f t="shared" si="116"/>
        <v>0</v>
      </c>
      <c r="K533" s="22">
        <v>0.00028</v>
      </c>
      <c r="L533" s="22">
        <f t="shared" si="117"/>
        <v>0.0016799999999999999</v>
      </c>
      <c r="M533" s="35" t="s">
        <v>1523</v>
      </c>
      <c r="N533" s="35" t="s">
        <v>7</v>
      </c>
      <c r="O533" s="22">
        <f t="shared" si="118"/>
        <v>0</v>
      </c>
      <c r="Z533" s="22">
        <f t="shared" si="119"/>
        <v>0</v>
      </c>
      <c r="AA533" s="22">
        <f t="shared" si="120"/>
        <v>0</v>
      </c>
      <c r="AB533" s="22">
        <f t="shared" si="121"/>
        <v>0</v>
      </c>
      <c r="AD533" s="39">
        <v>15</v>
      </c>
      <c r="AE533" s="39">
        <f>G533*0.809814814814815</f>
        <v>0</v>
      </c>
      <c r="AF533" s="39">
        <f>G533*(1-0.809814814814815)</f>
        <v>0</v>
      </c>
      <c r="AM533" s="39">
        <f t="shared" si="122"/>
        <v>0</v>
      </c>
      <c r="AN533" s="39">
        <f t="shared" si="123"/>
        <v>0</v>
      </c>
      <c r="AO533" s="40" t="s">
        <v>1564</v>
      </c>
      <c r="AP533" s="40" t="s">
        <v>1604</v>
      </c>
      <c r="AQ533" s="31" t="s">
        <v>1609</v>
      </c>
    </row>
    <row r="534" spans="1:43" ht="12.75">
      <c r="A534" s="5" t="s">
        <v>309</v>
      </c>
      <c r="B534" s="5" t="s">
        <v>590</v>
      </c>
      <c r="C534" s="5" t="s">
        <v>715</v>
      </c>
      <c r="D534" s="5" t="s">
        <v>1126</v>
      </c>
      <c r="E534" s="5" t="s">
        <v>1494</v>
      </c>
      <c r="F534" s="22">
        <v>3</v>
      </c>
      <c r="G534" s="22">
        <v>0</v>
      </c>
      <c r="H534" s="22">
        <f t="shared" si="114"/>
        <v>0</v>
      </c>
      <c r="I534" s="22">
        <f t="shared" si="115"/>
        <v>0</v>
      </c>
      <c r="J534" s="22">
        <f t="shared" si="116"/>
        <v>0</v>
      </c>
      <c r="K534" s="22">
        <v>0.00017</v>
      </c>
      <c r="L534" s="22">
        <f t="shared" si="117"/>
        <v>0.00051</v>
      </c>
      <c r="M534" s="35" t="s">
        <v>1523</v>
      </c>
      <c r="N534" s="35" t="s">
        <v>7</v>
      </c>
      <c r="O534" s="22">
        <f t="shared" si="118"/>
        <v>0</v>
      </c>
      <c r="Z534" s="22">
        <f t="shared" si="119"/>
        <v>0</v>
      </c>
      <c r="AA534" s="22">
        <f t="shared" si="120"/>
        <v>0</v>
      </c>
      <c r="AB534" s="22">
        <f t="shared" si="121"/>
        <v>0</v>
      </c>
      <c r="AD534" s="39">
        <v>15</v>
      </c>
      <c r="AE534" s="39">
        <f>G534*1</f>
        <v>0</v>
      </c>
      <c r="AF534" s="39">
        <f>G534*(1-1)</f>
        <v>0</v>
      </c>
      <c r="AM534" s="39">
        <f t="shared" si="122"/>
        <v>0</v>
      </c>
      <c r="AN534" s="39">
        <f t="shared" si="123"/>
        <v>0</v>
      </c>
      <c r="AO534" s="40" t="s">
        <v>1564</v>
      </c>
      <c r="AP534" s="40" t="s">
        <v>1604</v>
      </c>
      <c r="AQ534" s="31" t="s">
        <v>1609</v>
      </c>
    </row>
    <row r="535" spans="1:43" ht="12.75">
      <c r="A535" s="5" t="s">
        <v>310</v>
      </c>
      <c r="B535" s="5" t="s">
        <v>590</v>
      </c>
      <c r="C535" s="5" t="s">
        <v>719</v>
      </c>
      <c r="D535" s="5" t="s">
        <v>1130</v>
      </c>
      <c r="E535" s="5" t="s">
        <v>1494</v>
      </c>
      <c r="F535" s="22">
        <v>3</v>
      </c>
      <c r="G535" s="22">
        <v>0</v>
      </c>
      <c r="H535" s="22">
        <f t="shared" si="114"/>
        <v>0</v>
      </c>
      <c r="I535" s="22">
        <f t="shared" si="115"/>
        <v>0</v>
      </c>
      <c r="J535" s="22">
        <f t="shared" si="116"/>
        <v>0</v>
      </c>
      <c r="K535" s="22">
        <v>0.0035</v>
      </c>
      <c r="L535" s="22">
        <f t="shared" si="117"/>
        <v>0.0105</v>
      </c>
      <c r="M535" s="35" t="s">
        <v>1523</v>
      </c>
      <c r="N535" s="35" t="s">
        <v>7</v>
      </c>
      <c r="O535" s="22">
        <f t="shared" si="118"/>
        <v>0</v>
      </c>
      <c r="Z535" s="22">
        <f t="shared" si="119"/>
        <v>0</v>
      </c>
      <c r="AA535" s="22">
        <f t="shared" si="120"/>
        <v>0</v>
      </c>
      <c r="AB535" s="22">
        <f t="shared" si="121"/>
        <v>0</v>
      </c>
      <c r="AD535" s="39">
        <v>15</v>
      </c>
      <c r="AE535" s="39">
        <f>G535*1</f>
        <v>0</v>
      </c>
      <c r="AF535" s="39">
        <f>G535*(1-1)</f>
        <v>0</v>
      </c>
      <c r="AM535" s="39">
        <f t="shared" si="122"/>
        <v>0</v>
      </c>
      <c r="AN535" s="39">
        <f t="shared" si="123"/>
        <v>0</v>
      </c>
      <c r="AO535" s="40" t="s">
        <v>1564</v>
      </c>
      <c r="AP535" s="40" t="s">
        <v>1604</v>
      </c>
      <c r="AQ535" s="31" t="s">
        <v>1609</v>
      </c>
    </row>
    <row r="536" spans="1:43" ht="12.75">
      <c r="A536" s="5" t="s">
        <v>311</v>
      </c>
      <c r="B536" s="5" t="s">
        <v>590</v>
      </c>
      <c r="C536" s="5" t="s">
        <v>720</v>
      </c>
      <c r="D536" s="5" t="s">
        <v>1131</v>
      </c>
      <c r="E536" s="5" t="s">
        <v>1495</v>
      </c>
      <c r="F536" s="22">
        <v>3</v>
      </c>
      <c r="G536" s="22">
        <v>0</v>
      </c>
      <c r="H536" s="22">
        <f t="shared" si="114"/>
        <v>0</v>
      </c>
      <c r="I536" s="22">
        <f t="shared" si="115"/>
        <v>0</v>
      </c>
      <c r="J536" s="22">
        <f t="shared" si="116"/>
        <v>0</v>
      </c>
      <c r="K536" s="22">
        <v>0</v>
      </c>
      <c r="L536" s="22">
        <f t="shared" si="117"/>
        <v>0</v>
      </c>
      <c r="M536" s="35" t="s">
        <v>1523</v>
      </c>
      <c r="N536" s="35" t="s">
        <v>8</v>
      </c>
      <c r="O536" s="22">
        <f t="shared" si="118"/>
        <v>0</v>
      </c>
      <c r="Z536" s="22">
        <f t="shared" si="119"/>
        <v>0</v>
      </c>
      <c r="AA536" s="22">
        <f t="shared" si="120"/>
        <v>0</v>
      </c>
      <c r="AB536" s="22">
        <f t="shared" si="121"/>
        <v>0</v>
      </c>
      <c r="AD536" s="39">
        <v>15</v>
      </c>
      <c r="AE536" s="39">
        <f>G536*0</f>
        <v>0</v>
      </c>
      <c r="AF536" s="39">
        <f>G536*(1-0)</f>
        <v>0</v>
      </c>
      <c r="AM536" s="39">
        <f t="shared" si="122"/>
        <v>0</v>
      </c>
      <c r="AN536" s="39">
        <f t="shared" si="123"/>
        <v>0</v>
      </c>
      <c r="AO536" s="40" t="s">
        <v>1564</v>
      </c>
      <c r="AP536" s="40" t="s">
        <v>1604</v>
      </c>
      <c r="AQ536" s="31" t="s">
        <v>1609</v>
      </c>
    </row>
    <row r="537" ht="12.75">
      <c r="D537" s="18" t="s">
        <v>1312</v>
      </c>
    </row>
    <row r="538" spans="1:43" ht="12.75">
      <c r="A538" s="5" t="s">
        <v>312</v>
      </c>
      <c r="B538" s="5" t="s">
        <v>590</v>
      </c>
      <c r="C538" s="5" t="s">
        <v>721</v>
      </c>
      <c r="D538" s="5" t="s">
        <v>1133</v>
      </c>
      <c r="E538" s="5" t="s">
        <v>1494</v>
      </c>
      <c r="F538" s="22">
        <v>3</v>
      </c>
      <c r="G538" s="22">
        <v>0</v>
      </c>
      <c r="H538" s="22">
        <f>F538*AE538</f>
        <v>0</v>
      </c>
      <c r="I538" s="22">
        <f>J538-H538</f>
        <v>0</v>
      </c>
      <c r="J538" s="22">
        <f>F538*G538</f>
        <v>0</v>
      </c>
      <c r="K538" s="22">
        <v>0</v>
      </c>
      <c r="L538" s="22">
        <f>F538*K538</f>
        <v>0</v>
      </c>
      <c r="M538" s="35" t="s">
        <v>1523</v>
      </c>
      <c r="N538" s="35" t="s">
        <v>8</v>
      </c>
      <c r="O538" s="22">
        <f>IF(N538="5",I538,0)</f>
        <v>0</v>
      </c>
      <c r="Z538" s="22">
        <f>IF(AD538=0,J538,0)</f>
        <v>0</v>
      </c>
      <c r="AA538" s="22">
        <f>IF(AD538=15,J538,0)</f>
        <v>0</v>
      </c>
      <c r="AB538" s="22">
        <f>IF(AD538=21,J538,0)</f>
        <v>0</v>
      </c>
      <c r="AD538" s="39">
        <v>15</v>
      </c>
      <c r="AE538" s="39">
        <f>G538*0</f>
        <v>0</v>
      </c>
      <c r="AF538" s="39">
        <f>G538*(1-0)</f>
        <v>0</v>
      </c>
      <c r="AM538" s="39">
        <f>F538*AE538</f>
        <v>0</v>
      </c>
      <c r="AN538" s="39">
        <f>F538*AF538</f>
        <v>0</v>
      </c>
      <c r="AO538" s="40" t="s">
        <v>1564</v>
      </c>
      <c r="AP538" s="40" t="s">
        <v>1604</v>
      </c>
      <c r="AQ538" s="31" t="s">
        <v>1609</v>
      </c>
    </row>
    <row r="539" spans="1:43" ht="12.75">
      <c r="A539" s="5" t="s">
        <v>313</v>
      </c>
      <c r="B539" s="5" t="s">
        <v>590</v>
      </c>
      <c r="C539" s="5" t="s">
        <v>722</v>
      </c>
      <c r="D539" s="5" t="s">
        <v>1134</v>
      </c>
      <c r="E539" s="5" t="s">
        <v>1494</v>
      </c>
      <c r="F539" s="22">
        <v>3</v>
      </c>
      <c r="G539" s="22">
        <v>0</v>
      </c>
      <c r="H539" s="22">
        <f>F539*AE539</f>
        <v>0</v>
      </c>
      <c r="I539" s="22">
        <f>J539-H539</f>
        <v>0</v>
      </c>
      <c r="J539" s="22">
        <f>F539*G539</f>
        <v>0</v>
      </c>
      <c r="K539" s="22">
        <v>0.01933</v>
      </c>
      <c r="L539" s="22">
        <f>F539*K539</f>
        <v>0.05799</v>
      </c>
      <c r="M539" s="35" t="s">
        <v>1523</v>
      </c>
      <c r="N539" s="35" t="s">
        <v>9</v>
      </c>
      <c r="O539" s="22">
        <f>IF(N539="5",I539,0)</f>
        <v>0</v>
      </c>
      <c r="Z539" s="22">
        <f>IF(AD539=0,J539,0)</f>
        <v>0</v>
      </c>
      <c r="AA539" s="22">
        <f>IF(AD539=15,J539,0)</f>
        <v>0</v>
      </c>
      <c r="AB539" s="22">
        <f>IF(AD539=21,J539,0)</f>
        <v>0</v>
      </c>
      <c r="AD539" s="39">
        <v>15</v>
      </c>
      <c r="AE539" s="39">
        <f>G539*0</f>
        <v>0</v>
      </c>
      <c r="AF539" s="39">
        <f>G539*(1-0)</f>
        <v>0</v>
      </c>
      <c r="AM539" s="39">
        <f>F539*AE539</f>
        <v>0</v>
      </c>
      <c r="AN539" s="39">
        <f>F539*AF539</f>
        <v>0</v>
      </c>
      <c r="AO539" s="40" t="s">
        <v>1564</v>
      </c>
      <c r="AP539" s="40" t="s">
        <v>1604</v>
      </c>
      <c r="AQ539" s="31" t="s">
        <v>1609</v>
      </c>
    </row>
    <row r="540" ht="12.75">
      <c r="D540" s="18" t="s">
        <v>1313</v>
      </c>
    </row>
    <row r="541" spans="1:43" ht="12.75">
      <c r="A541" s="6" t="s">
        <v>314</v>
      </c>
      <c r="B541" s="6" t="s">
        <v>590</v>
      </c>
      <c r="C541" s="6" t="s">
        <v>706</v>
      </c>
      <c r="D541" s="6" t="s">
        <v>1117</v>
      </c>
      <c r="E541" s="6" t="s">
        <v>1494</v>
      </c>
      <c r="F541" s="24">
        <v>6</v>
      </c>
      <c r="G541" s="24">
        <v>0</v>
      </c>
      <c r="H541" s="24">
        <f aca="true" t="shared" si="124" ref="H541:H554">F541*AE541</f>
        <v>0</v>
      </c>
      <c r="I541" s="24">
        <f aca="true" t="shared" si="125" ref="I541:I554">J541-H541</f>
        <v>0</v>
      </c>
      <c r="J541" s="24">
        <f aca="true" t="shared" si="126" ref="J541:J554">F541*G541</f>
        <v>0</v>
      </c>
      <c r="K541" s="24">
        <v>0.00023</v>
      </c>
      <c r="L541" s="24">
        <f aca="true" t="shared" si="127" ref="L541:L554">F541*K541</f>
        <v>0.0013800000000000002</v>
      </c>
      <c r="M541" s="36" t="s">
        <v>1523</v>
      </c>
      <c r="N541" s="36" t="s">
        <v>1526</v>
      </c>
      <c r="O541" s="24">
        <f aca="true" t="shared" si="128" ref="O541:O554">IF(N541="5",I541,0)</f>
        <v>0</v>
      </c>
      <c r="Z541" s="24">
        <f aca="true" t="shared" si="129" ref="Z541:Z554">IF(AD541=0,J541,0)</f>
        <v>0</v>
      </c>
      <c r="AA541" s="24">
        <f aca="true" t="shared" si="130" ref="AA541:AA554">IF(AD541=15,J541,0)</f>
        <v>0</v>
      </c>
      <c r="AB541" s="24">
        <f aca="true" t="shared" si="131" ref="AB541:AB554">IF(AD541=21,J541,0)</f>
        <v>0</v>
      </c>
      <c r="AD541" s="39">
        <v>15</v>
      </c>
      <c r="AE541" s="39">
        <f aca="true" t="shared" si="132" ref="AE541:AE554">G541*1</f>
        <v>0</v>
      </c>
      <c r="AF541" s="39">
        <f aca="true" t="shared" si="133" ref="AF541:AF554">G541*(1-1)</f>
        <v>0</v>
      </c>
      <c r="AM541" s="39">
        <f aca="true" t="shared" si="134" ref="AM541:AM554">F541*AE541</f>
        <v>0</v>
      </c>
      <c r="AN541" s="39">
        <f aca="true" t="shared" si="135" ref="AN541:AN554">F541*AF541</f>
        <v>0</v>
      </c>
      <c r="AO541" s="40" t="s">
        <v>1564</v>
      </c>
      <c r="AP541" s="40" t="s">
        <v>1604</v>
      </c>
      <c r="AQ541" s="31" t="s">
        <v>1609</v>
      </c>
    </row>
    <row r="542" spans="1:43" ht="12.75">
      <c r="A542" s="6" t="s">
        <v>315</v>
      </c>
      <c r="B542" s="6" t="s">
        <v>590</v>
      </c>
      <c r="C542" s="6" t="s">
        <v>707</v>
      </c>
      <c r="D542" s="6" t="s">
        <v>1118</v>
      </c>
      <c r="E542" s="6" t="s">
        <v>1494</v>
      </c>
      <c r="F542" s="24">
        <v>3</v>
      </c>
      <c r="G542" s="24">
        <v>0</v>
      </c>
      <c r="H542" s="24">
        <f t="shared" si="124"/>
        <v>0</v>
      </c>
      <c r="I542" s="24">
        <f t="shared" si="125"/>
        <v>0</v>
      </c>
      <c r="J542" s="24">
        <f t="shared" si="126"/>
        <v>0</v>
      </c>
      <c r="K542" s="24">
        <v>0.00013</v>
      </c>
      <c r="L542" s="24">
        <f t="shared" si="127"/>
        <v>0.00038999999999999994</v>
      </c>
      <c r="M542" s="36" t="s">
        <v>1523</v>
      </c>
      <c r="N542" s="36" t="s">
        <v>1526</v>
      </c>
      <c r="O542" s="24">
        <f t="shared" si="128"/>
        <v>0</v>
      </c>
      <c r="Z542" s="24">
        <f t="shared" si="129"/>
        <v>0</v>
      </c>
      <c r="AA542" s="24">
        <f t="shared" si="130"/>
        <v>0</v>
      </c>
      <c r="AB542" s="24">
        <f t="shared" si="131"/>
        <v>0</v>
      </c>
      <c r="AD542" s="39">
        <v>15</v>
      </c>
      <c r="AE542" s="39">
        <f t="shared" si="132"/>
        <v>0</v>
      </c>
      <c r="AF542" s="39">
        <f t="shared" si="133"/>
        <v>0</v>
      </c>
      <c r="AM542" s="39">
        <f t="shared" si="134"/>
        <v>0</v>
      </c>
      <c r="AN542" s="39">
        <f t="shared" si="135"/>
        <v>0</v>
      </c>
      <c r="AO542" s="40" t="s">
        <v>1564</v>
      </c>
      <c r="AP542" s="40" t="s">
        <v>1604</v>
      </c>
      <c r="AQ542" s="31" t="s">
        <v>1609</v>
      </c>
    </row>
    <row r="543" spans="1:43" ht="12.75">
      <c r="A543" s="6" t="s">
        <v>316</v>
      </c>
      <c r="B543" s="6" t="s">
        <v>590</v>
      </c>
      <c r="C543" s="6" t="s">
        <v>708</v>
      </c>
      <c r="D543" s="6" t="s">
        <v>1119</v>
      </c>
      <c r="E543" s="6" t="s">
        <v>1495</v>
      </c>
      <c r="F543" s="24">
        <v>42</v>
      </c>
      <c r="G543" s="24">
        <v>0</v>
      </c>
      <c r="H543" s="24">
        <f t="shared" si="124"/>
        <v>0</v>
      </c>
      <c r="I543" s="24">
        <f t="shared" si="125"/>
        <v>0</v>
      </c>
      <c r="J543" s="24">
        <f t="shared" si="126"/>
        <v>0</v>
      </c>
      <c r="K543" s="24">
        <v>0.00015</v>
      </c>
      <c r="L543" s="24">
        <f t="shared" si="127"/>
        <v>0.006299999999999999</v>
      </c>
      <c r="M543" s="36" t="s">
        <v>1523</v>
      </c>
      <c r="N543" s="36" t="s">
        <v>1526</v>
      </c>
      <c r="O543" s="24">
        <f t="shared" si="128"/>
        <v>0</v>
      </c>
      <c r="Z543" s="24">
        <f t="shared" si="129"/>
        <v>0</v>
      </c>
      <c r="AA543" s="24">
        <f t="shared" si="130"/>
        <v>0</v>
      </c>
      <c r="AB543" s="24">
        <f t="shared" si="131"/>
        <v>0</v>
      </c>
      <c r="AD543" s="39">
        <v>15</v>
      </c>
      <c r="AE543" s="39">
        <f t="shared" si="132"/>
        <v>0</v>
      </c>
      <c r="AF543" s="39">
        <f t="shared" si="133"/>
        <v>0</v>
      </c>
      <c r="AM543" s="39">
        <f t="shared" si="134"/>
        <v>0</v>
      </c>
      <c r="AN543" s="39">
        <f t="shared" si="135"/>
        <v>0</v>
      </c>
      <c r="AO543" s="40" t="s">
        <v>1564</v>
      </c>
      <c r="AP543" s="40" t="s">
        <v>1604</v>
      </c>
      <c r="AQ543" s="31" t="s">
        <v>1609</v>
      </c>
    </row>
    <row r="544" spans="1:43" ht="12.75">
      <c r="A544" s="6" t="s">
        <v>317</v>
      </c>
      <c r="B544" s="6" t="s">
        <v>590</v>
      </c>
      <c r="C544" s="6" t="s">
        <v>708</v>
      </c>
      <c r="D544" s="6" t="s">
        <v>1314</v>
      </c>
      <c r="E544" s="6" t="s">
        <v>1495</v>
      </c>
      <c r="F544" s="24">
        <v>36</v>
      </c>
      <c r="G544" s="24">
        <v>0</v>
      </c>
      <c r="H544" s="24">
        <f t="shared" si="124"/>
        <v>0</v>
      </c>
      <c r="I544" s="24">
        <f t="shared" si="125"/>
        <v>0</v>
      </c>
      <c r="J544" s="24">
        <f t="shared" si="126"/>
        <v>0</v>
      </c>
      <c r="K544" s="24">
        <v>0.00015</v>
      </c>
      <c r="L544" s="24">
        <f t="shared" si="127"/>
        <v>0.005399999999999999</v>
      </c>
      <c r="M544" s="36" t="s">
        <v>1523</v>
      </c>
      <c r="N544" s="36" t="s">
        <v>1526</v>
      </c>
      <c r="O544" s="24">
        <f t="shared" si="128"/>
        <v>0</v>
      </c>
      <c r="Z544" s="24">
        <f t="shared" si="129"/>
        <v>0</v>
      </c>
      <c r="AA544" s="24">
        <f t="shared" si="130"/>
        <v>0</v>
      </c>
      <c r="AB544" s="24">
        <f t="shared" si="131"/>
        <v>0</v>
      </c>
      <c r="AD544" s="39">
        <v>15</v>
      </c>
      <c r="AE544" s="39">
        <f t="shared" si="132"/>
        <v>0</v>
      </c>
      <c r="AF544" s="39">
        <f t="shared" si="133"/>
        <v>0</v>
      </c>
      <c r="AM544" s="39">
        <f t="shared" si="134"/>
        <v>0</v>
      </c>
      <c r="AN544" s="39">
        <f t="shared" si="135"/>
        <v>0</v>
      </c>
      <c r="AO544" s="40" t="s">
        <v>1564</v>
      </c>
      <c r="AP544" s="40" t="s">
        <v>1604</v>
      </c>
      <c r="AQ544" s="31" t="s">
        <v>1609</v>
      </c>
    </row>
    <row r="545" spans="1:43" ht="12.75">
      <c r="A545" s="6" t="s">
        <v>318</v>
      </c>
      <c r="B545" s="6" t="s">
        <v>590</v>
      </c>
      <c r="C545" s="6" t="s">
        <v>709</v>
      </c>
      <c r="D545" s="6" t="s">
        <v>1315</v>
      </c>
      <c r="E545" s="6" t="s">
        <v>1495</v>
      </c>
      <c r="F545" s="24">
        <v>52</v>
      </c>
      <c r="G545" s="24">
        <v>0</v>
      </c>
      <c r="H545" s="24">
        <f t="shared" si="124"/>
        <v>0</v>
      </c>
      <c r="I545" s="24">
        <f t="shared" si="125"/>
        <v>0</v>
      </c>
      <c r="J545" s="24">
        <f t="shared" si="126"/>
        <v>0</v>
      </c>
      <c r="K545" s="24">
        <v>0.00029</v>
      </c>
      <c r="L545" s="24">
        <f t="shared" si="127"/>
        <v>0.01508</v>
      </c>
      <c r="M545" s="36" t="s">
        <v>1523</v>
      </c>
      <c r="N545" s="36" t="s">
        <v>1526</v>
      </c>
      <c r="O545" s="24">
        <f t="shared" si="128"/>
        <v>0</v>
      </c>
      <c r="Z545" s="24">
        <f t="shared" si="129"/>
        <v>0</v>
      </c>
      <c r="AA545" s="24">
        <f t="shared" si="130"/>
        <v>0</v>
      </c>
      <c r="AB545" s="24">
        <f t="shared" si="131"/>
        <v>0</v>
      </c>
      <c r="AD545" s="39">
        <v>15</v>
      </c>
      <c r="AE545" s="39">
        <f t="shared" si="132"/>
        <v>0</v>
      </c>
      <c r="AF545" s="39">
        <f t="shared" si="133"/>
        <v>0</v>
      </c>
      <c r="AM545" s="39">
        <f t="shared" si="134"/>
        <v>0</v>
      </c>
      <c r="AN545" s="39">
        <f t="shared" si="135"/>
        <v>0</v>
      </c>
      <c r="AO545" s="40" t="s">
        <v>1564</v>
      </c>
      <c r="AP545" s="40" t="s">
        <v>1604</v>
      </c>
      <c r="AQ545" s="31" t="s">
        <v>1609</v>
      </c>
    </row>
    <row r="546" spans="1:43" ht="12.75">
      <c r="A546" s="6" t="s">
        <v>319</v>
      </c>
      <c r="B546" s="6" t="s">
        <v>590</v>
      </c>
      <c r="C546" s="6" t="s">
        <v>710</v>
      </c>
      <c r="D546" s="6" t="s">
        <v>1121</v>
      </c>
      <c r="E546" s="6" t="s">
        <v>1495</v>
      </c>
      <c r="F546" s="24">
        <v>78</v>
      </c>
      <c r="G546" s="24">
        <v>0</v>
      </c>
      <c r="H546" s="24">
        <f t="shared" si="124"/>
        <v>0</v>
      </c>
      <c r="I546" s="24">
        <f t="shared" si="125"/>
        <v>0</v>
      </c>
      <c r="J546" s="24">
        <f t="shared" si="126"/>
        <v>0</v>
      </c>
      <c r="K546" s="24">
        <v>3E-05</v>
      </c>
      <c r="L546" s="24">
        <f t="shared" si="127"/>
        <v>0.00234</v>
      </c>
      <c r="M546" s="36" t="s">
        <v>1523</v>
      </c>
      <c r="N546" s="36" t="s">
        <v>1526</v>
      </c>
      <c r="O546" s="24">
        <f t="shared" si="128"/>
        <v>0</v>
      </c>
      <c r="Z546" s="24">
        <f t="shared" si="129"/>
        <v>0</v>
      </c>
      <c r="AA546" s="24">
        <f t="shared" si="130"/>
        <v>0</v>
      </c>
      <c r="AB546" s="24">
        <f t="shared" si="131"/>
        <v>0</v>
      </c>
      <c r="AD546" s="39">
        <v>15</v>
      </c>
      <c r="AE546" s="39">
        <f t="shared" si="132"/>
        <v>0</v>
      </c>
      <c r="AF546" s="39">
        <f t="shared" si="133"/>
        <v>0</v>
      </c>
      <c r="AM546" s="39">
        <f t="shared" si="134"/>
        <v>0</v>
      </c>
      <c r="AN546" s="39">
        <f t="shared" si="135"/>
        <v>0</v>
      </c>
      <c r="AO546" s="40" t="s">
        <v>1564</v>
      </c>
      <c r="AP546" s="40" t="s">
        <v>1604</v>
      </c>
      <c r="AQ546" s="31" t="s">
        <v>1609</v>
      </c>
    </row>
    <row r="547" spans="1:43" ht="12.75">
      <c r="A547" s="6" t="s">
        <v>320</v>
      </c>
      <c r="B547" s="6" t="s">
        <v>590</v>
      </c>
      <c r="C547" s="6" t="s">
        <v>711</v>
      </c>
      <c r="D547" s="6" t="s">
        <v>1122</v>
      </c>
      <c r="E547" s="6" t="s">
        <v>1495</v>
      </c>
      <c r="F547" s="24">
        <v>52</v>
      </c>
      <c r="G547" s="24">
        <v>0</v>
      </c>
      <c r="H547" s="24">
        <f t="shared" si="124"/>
        <v>0</v>
      </c>
      <c r="I547" s="24">
        <f t="shared" si="125"/>
        <v>0</v>
      </c>
      <c r="J547" s="24">
        <f t="shared" si="126"/>
        <v>0</v>
      </c>
      <c r="K547" s="24">
        <v>4E-05</v>
      </c>
      <c r="L547" s="24">
        <f t="shared" si="127"/>
        <v>0.0020800000000000003</v>
      </c>
      <c r="M547" s="36" t="s">
        <v>1523</v>
      </c>
      <c r="N547" s="36" t="s">
        <v>1526</v>
      </c>
      <c r="O547" s="24">
        <f t="shared" si="128"/>
        <v>0</v>
      </c>
      <c r="Z547" s="24">
        <f t="shared" si="129"/>
        <v>0</v>
      </c>
      <c r="AA547" s="24">
        <f t="shared" si="130"/>
        <v>0</v>
      </c>
      <c r="AB547" s="24">
        <f t="shared" si="131"/>
        <v>0</v>
      </c>
      <c r="AD547" s="39">
        <v>15</v>
      </c>
      <c r="AE547" s="39">
        <f t="shared" si="132"/>
        <v>0</v>
      </c>
      <c r="AF547" s="39">
        <f t="shared" si="133"/>
        <v>0</v>
      </c>
      <c r="AM547" s="39">
        <f t="shared" si="134"/>
        <v>0</v>
      </c>
      <c r="AN547" s="39">
        <f t="shared" si="135"/>
        <v>0</v>
      </c>
      <c r="AO547" s="40" t="s">
        <v>1564</v>
      </c>
      <c r="AP547" s="40" t="s">
        <v>1604</v>
      </c>
      <c r="AQ547" s="31" t="s">
        <v>1609</v>
      </c>
    </row>
    <row r="548" spans="1:43" ht="12.75">
      <c r="A548" s="6" t="s">
        <v>321</v>
      </c>
      <c r="B548" s="6" t="s">
        <v>590</v>
      </c>
      <c r="C548" s="6" t="s">
        <v>712</v>
      </c>
      <c r="D548" s="6" t="s">
        <v>1123</v>
      </c>
      <c r="E548" s="6" t="s">
        <v>1494</v>
      </c>
      <c r="F548" s="24">
        <v>3</v>
      </c>
      <c r="G548" s="24">
        <v>0</v>
      </c>
      <c r="H548" s="24">
        <f t="shared" si="124"/>
        <v>0</v>
      </c>
      <c r="I548" s="24">
        <f t="shared" si="125"/>
        <v>0</v>
      </c>
      <c r="J548" s="24">
        <f t="shared" si="126"/>
        <v>0</v>
      </c>
      <c r="K548" s="24">
        <v>1E-05</v>
      </c>
      <c r="L548" s="24">
        <f t="shared" si="127"/>
        <v>3.0000000000000004E-05</v>
      </c>
      <c r="M548" s="36" t="s">
        <v>1523</v>
      </c>
      <c r="N548" s="36" t="s">
        <v>1526</v>
      </c>
      <c r="O548" s="24">
        <f t="shared" si="128"/>
        <v>0</v>
      </c>
      <c r="Z548" s="24">
        <f t="shared" si="129"/>
        <v>0</v>
      </c>
      <c r="AA548" s="24">
        <f t="shared" si="130"/>
        <v>0</v>
      </c>
      <c r="AB548" s="24">
        <f t="shared" si="131"/>
        <v>0</v>
      </c>
      <c r="AD548" s="39">
        <v>15</v>
      </c>
      <c r="AE548" s="39">
        <f t="shared" si="132"/>
        <v>0</v>
      </c>
      <c r="AF548" s="39">
        <f t="shared" si="133"/>
        <v>0</v>
      </c>
      <c r="AM548" s="39">
        <f t="shared" si="134"/>
        <v>0</v>
      </c>
      <c r="AN548" s="39">
        <f t="shared" si="135"/>
        <v>0</v>
      </c>
      <c r="AO548" s="40" t="s">
        <v>1564</v>
      </c>
      <c r="AP548" s="40" t="s">
        <v>1604</v>
      </c>
      <c r="AQ548" s="31" t="s">
        <v>1609</v>
      </c>
    </row>
    <row r="549" spans="1:43" ht="12.75">
      <c r="A549" s="6" t="s">
        <v>322</v>
      </c>
      <c r="B549" s="6" t="s">
        <v>590</v>
      </c>
      <c r="C549" s="6" t="s">
        <v>713</v>
      </c>
      <c r="D549" s="6" t="s">
        <v>1124</v>
      </c>
      <c r="E549" s="6" t="s">
        <v>1494</v>
      </c>
      <c r="F549" s="24">
        <v>3</v>
      </c>
      <c r="G549" s="24">
        <v>0</v>
      </c>
      <c r="H549" s="24">
        <f t="shared" si="124"/>
        <v>0</v>
      </c>
      <c r="I549" s="24">
        <f t="shared" si="125"/>
        <v>0</v>
      </c>
      <c r="J549" s="24">
        <f t="shared" si="126"/>
        <v>0</v>
      </c>
      <c r="K549" s="24">
        <v>0.0004</v>
      </c>
      <c r="L549" s="24">
        <f t="shared" si="127"/>
        <v>0.0012000000000000001</v>
      </c>
      <c r="M549" s="36" t="s">
        <v>1523</v>
      </c>
      <c r="N549" s="36" t="s">
        <v>1526</v>
      </c>
      <c r="O549" s="24">
        <f t="shared" si="128"/>
        <v>0</v>
      </c>
      <c r="Z549" s="24">
        <f t="shared" si="129"/>
        <v>0</v>
      </c>
      <c r="AA549" s="24">
        <f t="shared" si="130"/>
        <v>0</v>
      </c>
      <c r="AB549" s="24">
        <f t="shared" si="131"/>
        <v>0</v>
      </c>
      <c r="AD549" s="39">
        <v>15</v>
      </c>
      <c r="AE549" s="39">
        <f t="shared" si="132"/>
        <v>0</v>
      </c>
      <c r="AF549" s="39">
        <f t="shared" si="133"/>
        <v>0</v>
      </c>
      <c r="AM549" s="39">
        <f t="shared" si="134"/>
        <v>0</v>
      </c>
      <c r="AN549" s="39">
        <f t="shared" si="135"/>
        <v>0</v>
      </c>
      <c r="AO549" s="40" t="s">
        <v>1564</v>
      </c>
      <c r="AP549" s="40" t="s">
        <v>1604</v>
      </c>
      <c r="AQ549" s="31" t="s">
        <v>1609</v>
      </c>
    </row>
    <row r="550" spans="1:43" ht="12.75">
      <c r="A550" s="6" t="s">
        <v>323</v>
      </c>
      <c r="B550" s="6" t="s">
        <v>590</v>
      </c>
      <c r="C550" s="6" t="s">
        <v>706</v>
      </c>
      <c r="D550" s="6" t="s">
        <v>1117</v>
      </c>
      <c r="E550" s="6" t="s">
        <v>1494</v>
      </c>
      <c r="F550" s="24">
        <v>3</v>
      </c>
      <c r="G550" s="24">
        <v>0</v>
      </c>
      <c r="H550" s="24">
        <f t="shared" si="124"/>
        <v>0</v>
      </c>
      <c r="I550" s="24">
        <f t="shared" si="125"/>
        <v>0</v>
      </c>
      <c r="J550" s="24">
        <f t="shared" si="126"/>
        <v>0</v>
      </c>
      <c r="K550" s="24">
        <v>0.00023</v>
      </c>
      <c r="L550" s="24">
        <f t="shared" si="127"/>
        <v>0.0006900000000000001</v>
      </c>
      <c r="M550" s="36" t="s">
        <v>1523</v>
      </c>
      <c r="N550" s="36" t="s">
        <v>1526</v>
      </c>
      <c r="O550" s="24">
        <f t="shared" si="128"/>
        <v>0</v>
      </c>
      <c r="Z550" s="24">
        <f t="shared" si="129"/>
        <v>0</v>
      </c>
      <c r="AA550" s="24">
        <f t="shared" si="130"/>
        <v>0</v>
      </c>
      <c r="AB550" s="24">
        <f t="shared" si="131"/>
        <v>0</v>
      </c>
      <c r="AD550" s="39">
        <v>15</v>
      </c>
      <c r="AE550" s="39">
        <f t="shared" si="132"/>
        <v>0</v>
      </c>
      <c r="AF550" s="39">
        <f t="shared" si="133"/>
        <v>0</v>
      </c>
      <c r="AM550" s="39">
        <f t="shared" si="134"/>
        <v>0</v>
      </c>
      <c r="AN550" s="39">
        <f t="shared" si="135"/>
        <v>0</v>
      </c>
      <c r="AO550" s="40" t="s">
        <v>1564</v>
      </c>
      <c r="AP550" s="40" t="s">
        <v>1604</v>
      </c>
      <c r="AQ550" s="31" t="s">
        <v>1609</v>
      </c>
    </row>
    <row r="551" spans="1:43" ht="12.75">
      <c r="A551" s="6" t="s">
        <v>324</v>
      </c>
      <c r="B551" s="6" t="s">
        <v>590</v>
      </c>
      <c r="C551" s="6" t="s">
        <v>706</v>
      </c>
      <c r="D551" s="6" t="s">
        <v>1117</v>
      </c>
      <c r="E551" s="6" t="s">
        <v>1494</v>
      </c>
      <c r="F551" s="24">
        <v>3</v>
      </c>
      <c r="G551" s="24">
        <v>0</v>
      </c>
      <c r="H551" s="24">
        <f t="shared" si="124"/>
        <v>0</v>
      </c>
      <c r="I551" s="24">
        <f t="shared" si="125"/>
        <v>0</v>
      </c>
      <c r="J551" s="24">
        <f t="shared" si="126"/>
        <v>0</v>
      </c>
      <c r="K551" s="24">
        <v>0.00023</v>
      </c>
      <c r="L551" s="24">
        <f t="shared" si="127"/>
        <v>0.0006900000000000001</v>
      </c>
      <c r="M551" s="36" t="s">
        <v>1523</v>
      </c>
      <c r="N551" s="36" t="s">
        <v>1526</v>
      </c>
      <c r="O551" s="24">
        <f t="shared" si="128"/>
        <v>0</v>
      </c>
      <c r="Z551" s="24">
        <f t="shared" si="129"/>
        <v>0</v>
      </c>
      <c r="AA551" s="24">
        <f t="shared" si="130"/>
        <v>0</v>
      </c>
      <c r="AB551" s="24">
        <f t="shared" si="131"/>
        <v>0</v>
      </c>
      <c r="AD551" s="39">
        <v>15</v>
      </c>
      <c r="AE551" s="39">
        <f t="shared" si="132"/>
        <v>0</v>
      </c>
      <c r="AF551" s="39">
        <f t="shared" si="133"/>
        <v>0</v>
      </c>
      <c r="AM551" s="39">
        <f t="shared" si="134"/>
        <v>0</v>
      </c>
      <c r="AN551" s="39">
        <f t="shared" si="135"/>
        <v>0</v>
      </c>
      <c r="AO551" s="40" t="s">
        <v>1564</v>
      </c>
      <c r="AP551" s="40" t="s">
        <v>1604</v>
      </c>
      <c r="AQ551" s="31" t="s">
        <v>1609</v>
      </c>
    </row>
    <row r="552" spans="1:43" ht="12.75">
      <c r="A552" s="6" t="s">
        <v>325</v>
      </c>
      <c r="B552" s="6" t="s">
        <v>590</v>
      </c>
      <c r="C552" s="6" t="s">
        <v>716</v>
      </c>
      <c r="D552" s="6" t="s">
        <v>1127</v>
      </c>
      <c r="E552" s="6" t="s">
        <v>1494</v>
      </c>
      <c r="F552" s="24">
        <v>3</v>
      </c>
      <c r="G552" s="24">
        <v>0</v>
      </c>
      <c r="H552" s="24">
        <f t="shared" si="124"/>
        <v>0</v>
      </c>
      <c r="I552" s="24">
        <f t="shared" si="125"/>
        <v>0</v>
      </c>
      <c r="J552" s="24">
        <f t="shared" si="126"/>
        <v>0</v>
      </c>
      <c r="K552" s="24">
        <v>0.00017</v>
      </c>
      <c r="L552" s="24">
        <f t="shared" si="127"/>
        <v>0.00051</v>
      </c>
      <c r="M552" s="36" t="s">
        <v>1523</v>
      </c>
      <c r="N552" s="36" t="s">
        <v>1526</v>
      </c>
      <c r="O552" s="24">
        <f t="shared" si="128"/>
        <v>0</v>
      </c>
      <c r="Z552" s="24">
        <f t="shared" si="129"/>
        <v>0</v>
      </c>
      <c r="AA552" s="24">
        <f t="shared" si="130"/>
        <v>0</v>
      </c>
      <c r="AB552" s="24">
        <f t="shared" si="131"/>
        <v>0</v>
      </c>
      <c r="AD552" s="39">
        <v>15</v>
      </c>
      <c r="AE552" s="39">
        <f t="shared" si="132"/>
        <v>0</v>
      </c>
      <c r="AF552" s="39">
        <f t="shared" si="133"/>
        <v>0</v>
      </c>
      <c r="AM552" s="39">
        <f t="shared" si="134"/>
        <v>0</v>
      </c>
      <c r="AN552" s="39">
        <f t="shared" si="135"/>
        <v>0</v>
      </c>
      <c r="AO552" s="40" t="s">
        <v>1564</v>
      </c>
      <c r="AP552" s="40" t="s">
        <v>1604</v>
      </c>
      <c r="AQ552" s="31" t="s">
        <v>1609</v>
      </c>
    </row>
    <row r="553" spans="1:43" ht="12.75">
      <c r="A553" s="6" t="s">
        <v>326</v>
      </c>
      <c r="B553" s="6" t="s">
        <v>590</v>
      </c>
      <c r="C553" s="6" t="s">
        <v>717</v>
      </c>
      <c r="D553" s="6" t="s">
        <v>1128</v>
      </c>
      <c r="E553" s="6" t="s">
        <v>1494</v>
      </c>
      <c r="F553" s="24">
        <v>3</v>
      </c>
      <c r="G553" s="24">
        <v>0</v>
      </c>
      <c r="H553" s="24">
        <f t="shared" si="124"/>
        <v>0</v>
      </c>
      <c r="I553" s="24">
        <f t="shared" si="125"/>
        <v>0</v>
      </c>
      <c r="J553" s="24">
        <f t="shared" si="126"/>
        <v>0</v>
      </c>
      <c r="K553" s="24">
        <v>0.00039</v>
      </c>
      <c r="L553" s="24">
        <f t="shared" si="127"/>
        <v>0.00117</v>
      </c>
      <c r="M553" s="36" t="s">
        <v>1523</v>
      </c>
      <c r="N553" s="36" t="s">
        <v>1526</v>
      </c>
      <c r="O553" s="24">
        <f t="shared" si="128"/>
        <v>0</v>
      </c>
      <c r="Z553" s="24">
        <f t="shared" si="129"/>
        <v>0</v>
      </c>
      <c r="AA553" s="24">
        <f t="shared" si="130"/>
        <v>0</v>
      </c>
      <c r="AB553" s="24">
        <f t="shared" si="131"/>
        <v>0</v>
      </c>
      <c r="AD553" s="39">
        <v>15</v>
      </c>
      <c r="AE553" s="39">
        <f t="shared" si="132"/>
        <v>0</v>
      </c>
      <c r="AF553" s="39">
        <f t="shared" si="133"/>
        <v>0</v>
      </c>
      <c r="AM553" s="39">
        <f t="shared" si="134"/>
        <v>0</v>
      </c>
      <c r="AN553" s="39">
        <f t="shared" si="135"/>
        <v>0</v>
      </c>
      <c r="AO553" s="40" t="s">
        <v>1564</v>
      </c>
      <c r="AP553" s="40" t="s">
        <v>1604</v>
      </c>
      <c r="AQ553" s="31" t="s">
        <v>1609</v>
      </c>
    </row>
    <row r="554" spans="1:43" ht="12.75">
      <c r="A554" s="6" t="s">
        <v>327</v>
      </c>
      <c r="B554" s="6" t="s">
        <v>590</v>
      </c>
      <c r="C554" s="6" t="s">
        <v>718</v>
      </c>
      <c r="D554" s="6" t="s">
        <v>1129</v>
      </c>
      <c r="E554" s="6" t="s">
        <v>1494</v>
      </c>
      <c r="F554" s="24">
        <v>3</v>
      </c>
      <c r="G554" s="24">
        <v>0</v>
      </c>
      <c r="H554" s="24">
        <f t="shared" si="124"/>
        <v>0</v>
      </c>
      <c r="I554" s="24">
        <f t="shared" si="125"/>
        <v>0</v>
      </c>
      <c r="J554" s="24">
        <f t="shared" si="126"/>
        <v>0</v>
      </c>
      <c r="K554" s="24">
        <v>0.00022</v>
      </c>
      <c r="L554" s="24">
        <f t="shared" si="127"/>
        <v>0.00066</v>
      </c>
      <c r="M554" s="36" t="s">
        <v>1523</v>
      </c>
      <c r="N554" s="36" t="s">
        <v>1526</v>
      </c>
      <c r="O554" s="24">
        <f t="shared" si="128"/>
        <v>0</v>
      </c>
      <c r="Z554" s="24">
        <f t="shared" si="129"/>
        <v>0</v>
      </c>
      <c r="AA554" s="24">
        <f t="shared" si="130"/>
        <v>0</v>
      </c>
      <c r="AB554" s="24">
        <f t="shared" si="131"/>
        <v>0</v>
      </c>
      <c r="AD554" s="39">
        <v>15</v>
      </c>
      <c r="AE554" s="39">
        <f t="shared" si="132"/>
        <v>0</v>
      </c>
      <c r="AF554" s="39">
        <f t="shared" si="133"/>
        <v>0</v>
      </c>
      <c r="AM554" s="39">
        <f t="shared" si="134"/>
        <v>0</v>
      </c>
      <c r="AN554" s="39">
        <f t="shared" si="135"/>
        <v>0</v>
      </c>
      <c r="AO554" s="40" t="s">
        <v>1564</v>
      </c>
      <c r="AP554" s="40" t="s">
        <v>1604</v>
      </c>
      <c r="AQ554" s="31" t="s">
        <v>1609</v>
      </c>
    </row>
    <row r="555" spans="1:37" ht="12.75">
      <c r="A555" s="4"/>
      <c r="B555" s="14" t="s">
        <v>590</v>
      </c>
      <c r="C555" s="14" t="s">
        <v>725</v>
      </c>
      <c r="D555" s="104" t="s">
        <v>1138</v>
      </c>
      <c r="E555" s="105"/>
      <c r="F555" s="105"/>
      <c r="G555" s="105"/>
      <c r="H555" s="42">
        <f>SUM(H556:H587)</f>
        <v>0</v>
      </c>
      <c r="I555" s="42">
        <f>SUM(I556:I587)</f>
        <v>0</v>
      </c>
      <c r="J555" s="42">
        <f>H555+I555</f>
        <v>0</v>
      </c>
      <c r="K555" s="31"/>
      <c r="L555" s="42">
        <f>SUM(L556:L587)</f>
        <v>0.5671499999999999</v>
      </c>
      <c r="M555" s="31"/>
      <c r="P555" s="42">
        <f>IF(Q555="PR",J555,SUM(O556:O587))</f>
        <v>0</v>
      </c>
      <c r="Q555" s="31" t="s">
        <v>1530</v>
      </c>
      <c r="R555" s="42">
        <f>IF(Q555="HS",H555,0)</f>
        <v>0</v>
      </c>
      <c r="S555" s="42">
        <f>IF(Q555="HS",I555-P555,0)</f>
        <v>0</v>
      </c>
      <c r="T555" s="42">
        <f>IF(Q555="PS",H555,0)</f>
        <v>0</v>
      </c>
      <c r="U555" s="42">
        <f>IF(Q555="PS",I555-P555,0)</f>
        <v>0</v>
      </c>
      <c r="V555" s="42">
        <f>IF(Q555="MP",H555,0)</f>
        <v>0</v>
      </c>
      <c r="W555" s="42">
        <f>IF(Q555="MP",I555-P555,0)</f>
        <v>0</v>
      </c>
      <c r="X555" s="42">
        <f>IF(Q555="OM",H555,0)</f>
        <v>0</v>
      </c>
      <c r="Y555" s="31" t="s">
        <v>590</v>
      </c>
      <c r="AI555" s="42">
        <f>SUM(Z556:Z587)</f>
        <v>0</v>
      </c>
      <c r="AJ555" s="42">
        <f>SUM(AA556:AA587)</f>
        <v>0</v>
      </c>
      <c r="AK555" s="42">
        <f>SUM(AB556:AB587)</f>
        <v>0</v>
      </c>
    </row>
    <row r="556" spans="1:43" ht="12.75">
      <c r="A556" s="5" t="s">
        <v>328</v>
      </c>
      <c r="B556" s="5" t="s">
        <v>590</v>
      </c>
      <c r="C556" s="5" t="s">
        <v>726</v>
      </c>
      <c r="D556" s="5" t="s">
        <v>1139</v>
      </c>
      <c r="E556" s="5" t="s">
        <v>1500</v>
      </c>
      <c r="F556" s="22">
        <v>3</v>
      </c>
      <c r="G556" s="22">
        <v>0</v>
      </c>
      <c r="H556" s="22">
        <f>F556*AE556</f>
        <v>0</v>
      </c>
      <c r="I556" s="22">
        <f>J556-H556</f>
        <v>0</v>
      </c>
      <c r="J556" s="22">
        <f>F556*G556</f>
        <v>0</v>
      </c>
      <c r="K556" s="22">
        <v>0.01651</v>
      </c>
      <c r="L556" s="22">
        <f>F556*K556</f>
        <v>0.049530000000000005</v>
      </c>
      <c r="M556" s="35" t="s">
        <v>1523</v>
      </c>
      <c r="N556" s="35" t="s">
        <v>7</v>
      </c>
      <c r="O556" s="22">
        <f>IF(N556="5",I556,0)</f>
        <v>0</v>
      </c>
      <c r="Z556" s="22">
        <f>IF(AD556=0,J556,0)</f>
        <v>0</v>
      </c>
      <c r="AA556" s="22">
        <f>IF(AD556=15,J556,0)</f>
        <v>0</v>
      </c>
      <c r="AB556" s="22">
        <f>IF(AD556=21,J556,0)</f>
        <v>0</v>
      </c>
      <c r="AD556" s="39">
        <v>15</v>
      </c>
      <c r="AE556" s="39">
        <f>G556*1</f>
        <v>0</v>
      </c>
      <c r="AF556" s="39">
        <f>G556*(1-1)</f>
        <v>0</v>
      </c>
      <c r="AM556" s="39">
        <f>F556*AE556</f>
        <v>0</v>
      </c>
      <c r="AN556" s="39">
        <f>F556*AF556</f>
        <v>0</v>
      </c>
      <c r="AO556" s="40" t="s">
        <v>1565</v>
      </c>
      <c r="AP556" s="40" t="s">
        <v>1604</v>
      </c>
      <c r="AQ556" s="31" t="s">
        <v>1609</v>
      </c>
    </row>
    <row r="557" spans="1:43" ht="12.75">
      <c r="A557" s="5" t="s">
        <v>329</v>
      </c>
      <c r="B557" s="5" t="s">
        <v>590</v>
      </c>
      <c r="C557" s="5" t="s">
        <v>727</v>
      </c>
      <c r="D557" s="5" t="s">
        <v>1140</v>
      </c>
      <c r="E557" s="5" t="s">
        <v>1494</v>
      </c>
      <c r="F557" s="22">
        <v>6</v>
      </c>
      <c r="G557" s="22">
        <v>0</v>
      </c>
      <c r="H557" s="22">
        <f>F557*AE557</f>
        <v>0</v>
      </c>
      <c r="I557" s="22">
        <f>J557-H557</f>
        <v>0</v>
      </c>
      <c r="J557" s="22">
        <f>F557*G557</f>
        <v>0</v>
      </c>
      <c r="K557" s="22">
        <v>0.00031</v>
      </c>
      <c r="L557" s="22">
        <f>F557*K557</f>
        <v>0.00186</v>
      </c>
      <c r="M557" s="35" t="s">
        <v>1523</v>
      </c>
      <c r="N557" s="35" t="s">
        <v>7</v>
      </c>
      <c r="O557" s="22">
        <f>IF(N557="5",I557,0)</f>
        <v>0</v>
      </c>
      <c r="Z557" s="22">
        <f>IF(AD557=0,J557,0)</f>
        <v>0</v>
      </c>
      <c r="AA557" s="22">
        <f>IF(AD557=15,J557,0)</f>
        <v>0</v>
      </c>
      <c r="AB557" s="22">
        <f>IF(AD557=21,J557,0)</f>
        <v>0</v>
      </c>
      <c r="AD557" s="39">
        <v>15</v>
      </c>
      <c r="AE557" s="39">
        <f>G557*1</f>
        <v>0</v>
      </c>
      <c r="AF557" s="39">
        <f>G557*(1-1)</f>
        <v>0</v>
      </c>
      <c r="AM557" s="39">
        <f>F557*AE557</f>
        <v>0</v>
      </c>
      <c r="AN557" s="39">
        <f>F557*AF557</f>
        <v>0</v>
      </c>
      <c r="AO557" s="40" t="s">
        <v>1565</v>
      </c>
      <c r="AP557" s="40" t="s">
        <v>1604</v>
      </c>
      <c r="AQ557" s="31" t="s">
        <v>1609</v>
      </c>
    </row>
    <row r="558" spans="1:43" ht="12.75">
      <c r="A558" s="5" t="s">
        <v>330</v>
      </c>
      <c r="B558" s="5" t="s">
        <v>590</v>
      </c>
      <c r="C558" s="5" t="s">
        <v>728</v>
      </c>
      <c r="D558" s="5" t="s">
        <v>1141</v>
      </c>
      <c r="E558" s="5" t="s">
        <v>1494</v>
      </c>
      <c r="F558" s="22">
        <v>3</v>
      </c>
      <c r="G558" s="22">
        <v>0</v>
      </c>
      <c r="H558" s="22">
        <f>F558*AE558</f>
        <v>0</v>
      </c>
      <c r="I558" s="22">
        <f>J558-H558</f>
        <v>0</v>
      </c>
      <c r="J558" s="22">
        <f>F558*G558</f>
        <v>0</v>
      </c>
      <c r="K558" s="22">
        <v>0.0013</v>
      </c>
      <c r="L558" s="22">
        <f>F558*K558</f>
        <v>0.0039</v>
      </c>
      <c r="M558" s="35" t="s">
        <v>1523</v>
      </c>
      <c r="N558" s="35" t="s">
        <v>7</v>
      </c>
      <c r="O558" s="22">
        <f>IF(N558="5",I558,0)</f>
        <v>0</v>
      </c>
      <c r="Z558" s="22">
        <f>IF(AD558=0,J558,0)</f>
        <v>0</v>
      </c>
      <c r="AA558" s="22">
        <f>IF(AD558=15,J558,0)</f>
        <v>0</v>
      </c>
      <c r="AB558" s="22">
        <f>IF(AD558=21,J558,0)</f>
        <v>0</v>
      </c>
      <c r="AD558" s="39">
        <v>15</v>
      </c>
      <c r="AE558" s="39">
        <f>G558*1</f>
        <v>0</v>
      </c>
      <c r="AF558" s="39">
        <f>G558*(1-1)</f>
        <v>0</v>
      </c>
      <c r="AM558" s="39">
        <f>F558*AE558</f>
        <v>0</v>
      </c>
      <c r="AN558" s="39">
        <f>F558*AF558</f>
        <v>0</v>
      </c>
      <c r="AO558" s="40" t="s">
        <v>1565</v>
      </c>
      <c r="AP558" s="40" t="s">
        <v>1604</v>
      </c>
      <c r="AQ558" s="31" t="s">
        <v>1609</v>
      </c>
    </row>
    <row r="559" ht="12.75">
      <c r="D559" s="18" t="s">
        <v>1142</v>
      </c>
    </row>
    <row r="560" spans="1:43" ht="12.75">
      <c r="A560" s="5" t="s">
        <v>331</v>
      </c>
      <c r="B560" s="5" t="s">
        <v>590</v>
      </c>
      <c r="C560" s="5" t="s">
        <v>729</v>
      </c>
      <c r="D560" s="5" t="s">
        <v>1143</v>
      </c>
      <c r="E560" s="5" t="s">
        <v>1494</v>
      </c>
      <c r="F560" s="22">
        <v>3</v>
      </c>
      <c r="G560" s="22">
        <v>0</v>
      </c>
      <c r="H560" s="22">
        <f>F560*AE560</f>
        <v>0</v>
      </c>
      <c r="I560" s="22">
        <f>J560-H560</f>
        <v>0</v>
      </c>
      <c r="J560" s="22">
        <f>F560*G560</f>
        <v>0</v>
      </c>
      <c r="K560" s="22">
        <v>0.001</v>
      </c>
      <c r="L560" s="22">
        <f>F560*K560</f>
        <v>0.003</v>
      </c>
      <c r="M560" s="35" t="s">
        <v>1523</v>
      </c>
      <c r="N560" s="35" t="s">
        <v>7</v>
      </c>
      <c r="O560" s="22">
        <f>IF(N560="5",I560,0)</f>
        <v>0</v>
      </c>
      <c r="Z560" s="22">
        <f>IF(AD560=0,J560,0)</f>
        <v>0</v>
      </c>
      <c r="AA560" s="22">
        <f>IF(AD560=15,J560,0)</f>
        <v>0</v>
      </c>
      <c r="AB560" s="22">
        <f>IF(AD560=21,J560,0)</f>
        <v>0</v>
      </c>
      <c r="AD560" s="39">
        <v>15</v>
      </c>
      <c r="AE560" s="39">
        <f>G560*1</f>
        <v>0</v>
      </c>
      <c r="AF560" s="39">
        <f>G560*(1-1)</f>
        <v>0</v>
      </c>
      <c r="AM560" s="39">
        <f>F560*AE560</f>
        <v>0</v>
      </c>
      <c r="AN560" s="39">
        <f>F560*AF560</f>
        <v>0</v>
      </c>
      <c r="AO560" s="40" t="s">
        <v>1565</v>
      </c>
      <c r="AP560" s="40" t="s">
        <v>1604</v>
      </c>
      <c r="AQ560" s="31" t="s">
        <v>1609</v>
      </c>
    </row>
    <row r="561" ht="12.75">
      <c r="D561" s="18" t="s">
        <v>1142</v>
      </c>
    </row>
    <row r="562" spans="1:43" ht="12.75">
      <c r="A562" s="5" t="s">
        <v>332</v>
      </c>
      <c r="B562" s="5" t="s">
        <v>590</v>
      </c>
      <c r="C562" s="5" t="s">
        <v>730</v>
      </c>
      <c r="D562" s="5" t="s">
        <v>1144</v>
      </c>
      <c r="E562" s="5" t="s">
        <v>1500</v>
      </c>
      <c r="F562" s="22">
        <v>21</v>
      </c>
      <c r="G562" s="22">
        <v>0</v>
      </c>
      <c r="H562" s="22">
        <f>F562*AE562</f>
        <v>0</v>
      </c>
      <c r="I562" s="22">
        <f>J562-H562</f>
        <v>0</v>
      </c>
      <c r="J562" s="22">
        <f>F562*G562</f>
        <v>0</v>
      </c>
      <c r="K562" s="22">
        <v>8E-05</v>
      </c>
      <c r="L562" s="22">
        <f>F562*K562</f>
        <v>0.00168</v>
      </c>
      <c r="M562" s="35" t="s">
        <v>1523</v>
      </c>
      <c r="N562" s="35" t="s">
        <v>7</v>
      </c>
      <c r="O562" s="22">
        <f>IF(N562="5",I562,0)</f>
        <v>0</v>
      </c>
      <c r="Z562" s="22">
        <f>IF(AD562=0,J562,0)</f>
        <v>0</v>
      </c>
      <c r="AA562" s="22">
        <f>IF(AD562=15,J562,0)</f>
        <v>0</v>
      </c>
      <c r="AB562" s="22">
        <f>IF(AD562=21,J562,0)</f>
        <v>0</v>
      </c>
      <c r="AD562" s="39">
        <v>15</v>
      </c>
      <c r="AE562" s="39">
        <f>G562*1</f>
        <v>0</v>
      </c>
      <c r="AF562" s="39">
        <f>G562*(1-1)</f>
        <v>0</v>
      </c>
      <c r="AM562" s="39">
        <f>F562*AE562</f>
        <v>0</v>
      </c>
      <c r="AN562" s="39">
        <f>F562*AF562</f>
        <v>0</v>
      </c>
      <c r="AO562" s="40" t="s">
        <v>1565</v>
      </c>
      <c r="AP562" s="40" t="s">
        <v>1604</v>
      </c>
      <c r="AQ562" s="31" t="s">
        <v>1609</v>
      </c>
    </row>
    <row r="563" spans="1:43" ht="12.75">
      <c r="A563" s="5" t="s">
        <v>333</v>
      </c>
      <c r="B563" s="5" t="s">
        <v>590</v>
      </c>
      <c r="C563" s="5" t="s">
        <v>732</v>
      </c>
      <c r="D563" s="5" t="s">
        <v>1146</v>
      </c>
      <c r="E563" s="5" t="s">
        <v>1494</v>
      </c>
      <c r="F563" s="22">
        <v>3</v>
      </c>
      <c r="G563" s="22">
        <v>0</v>
      </c>
      <c r="H563" s="22">
        <f>F563*AE563</f>
        <v>0</v>
      </c>
      <c r="I563" s="22">
        <f>J563-H563</f>
        <v>0</v>
      </c>
      <c r="J563" s="22">
        <f>F563*G563</f>
        <v>0</v>
      </c>
      <c r="K563" s="22">
        <v>0.00152</v>
      </c>
      <c r="L563" s="22">
        <f>F563*K563</f>
        <v>0.00456</v>
      </c>
      <c r="M563" s="35" t="s">
        <v>1523</v>
      </c>
      <c r="N563" s="35" t="s">
        <v>7</v>
      </c>
      <c r="O563" s="22">
        <f>IF(N563="5",I563,0)</f>
        <v>0</v>
      </c>
      <c r="Z563" s="22">
        <f>IF(AD563=0,J563,0)</f>
        <v>0</v>
      </c>
      <c r="AA563" s="22">
        <f>IF(AD563=15,J563,0)</f>
        <v>0</v>
      </c>
      <c r="AB563" s="22">
        <f>IF(AD563=21,J563,0)</f>
        <v>0</v>
      </c>
      <c r="AD563" s="39">
        <v>15</v>
      </c>
      <c r="AE563" s="39">
        <f>G563*0.889041009931603</f>
        <v>0</v>
      </c>
      <c r="AF563" s="39">
        <f>G563*(1-0.889041009931603)</f>
        <v>0</v>
      </c>
      <c r="AM563" s="39">
        <f>F563*AE563</f>
        <v>0</v>
      </c>
      <c r="AN563" s="39">
        <f>F563*AF563</f>
        <v>0</v>
      </c>
      <c r="AO563" s="40" t="s">
        <v>1565</v>
      </c>
      <c r="AP563" s="40" t="s">
        <v>1604</v>
      </c>
      <c r="AQ563" s="31" t="s">
        <v>1609</v>
      </c>
    </row>
    <row r="564" ht="12.75">
      <c r="D564" s="18" t="s">
        <v>1147</v>
      </c>
    </row>
    <row r="565" spans="1:43" ht="12.75">
      <c r="A565" s="5" t="s">
        <v>334</v>
      </c>
      <c r="B565" s="5" t="s">
        <v>590</v>
      </c>
      <c r="C565" s="5" t="s">
        <v>733</v>
      </c>
      <c r="D565" s="5" t="s">
        <v>1148</v>
      </c>
      <c r="E565" s="5" t="s">
        <v>1500</v>
      </c>
      <c r="F565" s="22">
        <v>3</v>
      </c>
      <c r="G565" s="22">
        <v>0</v>
      </c>
      <c r="H565" s="22">
        <f>F565*AE565</f>
        <v>0</v>
      </c>
      <c r="I565" s="22">
        <f>J565-H565</f>
        <v>0</v>
      </c>
      <c r="J565" s="22">
        <f>F565*G565</f>
        <v>0</v>
      </c>
      <c r="K565" s="22">
        <v>0.00062</v>
      </c>
      <c r="L565" s="22">
        <f>F565*K565</f>
        <v>0.00186</v>
      </c>
      <c r="M565" s="35" t="s">
        <v>1523</v>
      </c>
      <c r="N565" s="35" t="s">
        <v>7</v>
      </c>
      <c r="O565" s="22">
        <f>IF(N565="5",I565,0)</f>
        <v>0</v>
      </c>
      <c r="Z565" s="22">
        <f>IF(AD565=0,J565,0)</f>
        <v>0</v>
      </c>
      <c r="AA565" s="22">
        <f>IF(AD565=15,J565,0)</f>
        <v>0</v>
      </c>
      <c r="AB565" s="22">
        <f>IF(AD565=21,J565,0)</f>
        <v>0</v>
      </c>
      <c r="AD565" s="39">
        <v>15</v>
      </c>
      <c r="AE565" s="39">
        <f>G565*0.300113728675873</f>
        <v>0</v>
      </c>
      <c r="AF565" s="39">
        <f>G565*(1-0.300113728675873)</f>
        <v>0</v>
      </c>
      <c r="AM565" s="39">
        <f>F565*AE565</f>
        <v>0</v>
      </c>
      <c r="AN565" s="39">
        <f>F565*AF565</f>
        <v>0</v>
      </c>
      <c r="AO565" s="40" t="s">
        <v>1565</v>
      </c>
      <c r="AP565" s="40" t="s">
        <v>1604</v>
      </c>
      <c r="AQ565" s="31" t="s">
        <v>1609</v>
      </c>
    </row>
    <row r="566" spans="1:43" ht="12.75">
      <c r="A566" s="5" t="s">
        <v>335</v>
      </c>
      <c r="B566" s="5" t="s">
        <v>590</v>
      </c>
      <c r="C566" s="5" t="s">
        <v>735</v>
      </c>
      <c r="D566" s="5" t="s">
        <v>1150</v>
      </c>
      <c r="E566" s="5" t="s">
        <v>1500</v>
      </c>
      <c r="F566" s="22">
        <v>3</v>
      </c>
      <c r="G566" s="22">
        <v>0</v>
      </c>
      <c r="H566" s="22">
        <f>F566*AE566</f>
        <v>0</v>
      </c>
      <c r="I566" s="22">
        <f>J566-H566</f>
        <v>0</v>
      </c>
      <c r="J566" s="22">
        <f>F566*G566</f>
        <v>0</v>
      </c>
      <c r="K566" s="22">
        <v>0.00017</v>
      </c>
      <c r="L566" s="22">
        <f>F566*K566</f>
        <v>0.00051</v>
      </c>
      <c r="M566" s="35" t="s">
        <v>1523</v>
      </c>
      <c r="N566" s="35" t="s">
        <v>7</v>
      </c>
      <c r="O566" s="22">
        <f>IF(N566="5",I566,0)</f>
        <v>0</v>
      </c>
      <c r="Z566" s="22">
        <f>IF(AD566=0,J566,0)</f>
        <v>0</v>
      </c>
      <c r="AA566" s="22">
        <f>IF(AD566=15,J566,0)</f>
        <v>0</v>
      </c>
      <c r="AB566" s="22">
        <f>IF(AD566=21,J566,0)</f>
        <v>0</v>
      </c>
      <c r="AD566" s="39">
        <v>15</v>
      </c>
      <c r="AE566" s="39">
        <f>G566*0.0512043435340572</f>
        <v>0</v>
      </c>
      <c r="AF566" s="39">
        <f>G566*(1-0.0512043435340572)</f>
        <v>0</v>
      </c>
      <c r="AM566" s="39">
        <f>F566*AE566</f>
        <v>0</v>
      </c>
      <c r="AN566" s="39">
        <f>F566*AF566</f>
        <v>0</v>
      </c>
      <c r="AO566" s="40" t="s">
        <v>1565</v>
      </c>
      <c r="AP566" s="40" t="s">
        <v>1604</v>
      </c>
      <c r="AQ566" s="31" t="s">
        <v>1609</v>
      </c>
    </row>
    <row r="567" spans="1:43" ht="12.75">
      <c r="A567" s="5" t="s">
        <v>336</v>
      </c>
      <c r="B567" s="5" t="s">
        <v>590</v>
      </c>
      <c r="C567" s="5" t="s">
        <v>737</v>
      </c>
      <c r="D567" s="5" t="s">
        <v>1152</v>
      </c>
      <c r="E567" s="5" t="s">
        <v>1494</v>
      </c>
      <c r="F567" s="22">
        <v>3</v>
      </c>
      <c r="G567" s="22">
        <v>0</v>
      </c>
      <c r="H567" s="22">
        <f>F567*AE567</f>
        <v>0</v>
      </c>
      <c r="I567" s="22">
        <f>J567-H567</f>
        <v>0</v>
      </c>
      <c r="J567" s="22">
        <f>F567*G567</f>
        <v>0</v>
      </c>
      <c r="K567" s="22">
        <v>0.00037</v>
      </c>
      <c r="L567" s="22">
        <f>F567*K567</f>
        <v>0.0011099999999999999</v>
      </c>
      <c r="M567" s="35" t="s">
        <v>1523</v>
      </c>
      <c r="N567" s="35" t="s">
        <v>7</v>
      </c>
      <c r="O567" s="22">
        <f>IF(N567="5",I567,0)</f>
        <v>0</v>
      </c>
      <c r="Z567" s="22">
        <f>IF(AD567=0,J567,0)</f>
        <v>0</v>
      </c>
      <c r="AA567" s="22">
        <f>IF(AD567=15,J567,0)</f>
        <v>0</v>
      </c>
      <c r="AB567" s="22">
        <f>IF(AD567=21,J567,0)</f>
        <v>0</v>
      </c>
      <c r="AD567" s="39">
        <v>15</v>
      </c>
      <c r="AE567" s="39">
        <f>G567*0.87303738317757</f>
        <v>0</v>
      </c>
      <c r="AF567" s="39">
        <f>G567*(1-0.87303738317757)</f>
        <v>0</v>
      </c>
      <c r="AM567" s="39">
        <f>F567*AE567</f>
        <v>0</v>
      </c>
      <c r="AN567" s="39">
        <f>F567*AF567</f>
        <v>0</v>
      </c>
      <c r="AO567" s="40" t="s">
        <v>1565</v>
      </c>
      <c r="AP567" s="40" t="s">
        <v>1604</v>
      </c>
      <c r="AQ567" s="31" t="s">
        <v>1609</v>
      </c>
    </row>
    <row r="568" ht="12.75">
      <c r="D568" s="18" t="s">
        <v>1153</v>
      </c>
    </row>
    <row r="569" spans="1:43" ht="12.75">
      <c r="A569" s="5" t="s">
        <v>337</v>
      </c>
      <c r="B569" s="5" t="s">
        <v>590</v>
      </c>
      <c r="C569" s="5" t="s">
        <v>740</v>
      </c>
      <c r="D569" s="5" t="s">
        <v>1156</v>
      </c>
      <c r="E569" s="5" t="s">
        <v>1494</v>
      </c>
      <c r="F569" s="22">
        <v>6</v>
      </c>
      <c r="G569" s="22">
        <v>0</v>
      </c>
      <c r="H569" s="22">
        <f>F569*AE569</f>
        <v>0</v>
      </c>
      <c r="I569" s="22">
        <f>J569-H569</f>
        <v>0</v>
      </c>
      <c r="J569" s="22">
        <f>F569*G569</f>
        <v>0</v>
      </c>
      <c r="K569" s="22">
        <v>4E-05</v>
      </c>
      <c r="L569" s="22">
        <f>F569*K569</f>
        <v>0.00024000000000000003</v>
      </c>
      <c r="M569" s="35" t="s">
        <v>1523</v>
      </c>
      <c r="N569" s="35" t="s">
        <v>7</v>
      </c>
      <c r="O569" s="22">
        <f>IF(N569="5",I569,0)</f>
        <v>0</v>
      </c>
      <c r="Z569" s="22">
        <f>IF(AD569=0,J569,0)</f>
        <v>0</v>
      </c>
      <c r="AA569" s="22">
        <f>IF(AD569=15,J569,0)</f>
        <v>0</v>
      </c>
      <c r="AB569" s="22">
        <f>IF(AD569=21,J569,0)</f>
        <v>0</v>
      </c>
      <c r="AD569" s="39">
        <v>15</v>
      </c>
      <c r="AE569" s="39">
        <f>G569*0.0407139600026057</f>
        <v>0</v>
      </c>
      <c r="AF569" s="39">
        <f>G569*(1-0.0407139600026057)</f>
        <v>0</v>
      </c>
      <c r="AM569" s="39">
        <f>F569*AE569</f>
        <v>0</v>
      </c>
      <c r="AN569" s="39">
        <f>F569*AF569</f>
        <v>0</v>
      </c>
      <c r="AO569" s="40" t="s">
        <v>1565</v>
      </c>
      <c r="AP569" s="40" t="s">
        <v>1604</v>
      </c>
      <c r="AQ569" s="31" t="s">
        <v>1609</v>
      </c>
    </row>
    <row r="570" spans="1:43" ht="12.75">
      <c r="A570" s="5" t="s">
        <v>338</v>
      </c>
      <c r="B570" s="5" t="s">
        <v>590</v>
      </c>
      <c r="C570" s="5" t="s">
        <v>741</v>
      </c>
      <c r="D570" s="5" t="s">
        <v>1157</v>
      </c>
      <c r="E570" s="5" t="s">
        <v>1500</v>
      </c>
      <c r="F570" s="22">
        <v>3</v>
      </c>
      <c r="G570" s="22">
        <v>0</v>
      </c>
      <c r="H570" s="22">
        <f>F570*AE570</f>
        <v>0</v>
      </c>
      <c r="I570" s="22">
        <f>J570-H570</f>
        <v>0</v>
      </c>
      <c r="J570" s="22">
        <f>F570*G570</f>
        <v>0</v>
      </c>
      <c r="K570" s="22">
        <v>3E-05</v>
      </c>
      <c r="L570" s="22">
        <f>F570*K570</f>
        <v>9E-05</v>
      </c>
      <c r="M570" s="35" t="s">
        <v>1523</v>
      </c>
      <c r="N570" s="35" t="s">
        <v>7</v>
      </c>
      <c r="O570" s="22">
        <f>IF(N570="5",I570,0)</f>
        <v>0</v>
      </c>
      <c r="Z570" s="22">
        <f>IF(AD570=0,J570,0)</f>
        <v>0</v>
      </c>
      <c r="AA570" s="22">
        <f>IF(AD570=15,J570,0)</f>
        <v>0</v>
      </c>
      <c r="AB570" s="22">
        <f>IF(AD570=21,J570,0)</f>
        <v>0</v>
      </c>
      <c r="AD570" s="39">
        <v>15</v>
      </c>
      <c r="AE570" s="39">
        <f>G570*0.901428764591878</f>
        <v>0</v>
      </c>
      <c r="AF570" s="39">
        <f>G570*(1-0.901428764591878)</f>
        <v>0</v>
      </c>
      <c r="AM570" s="39">
        <f>F570*AE570</f>
        <v>0</v>
      </c>
      <c r="AN570" s="39">
        <f>F570*AF570</f>
        <v>0</v>
      </c>
      <c r="AO570" s="40" t="s">
        <v>1565</v>
      </c>
      <c r="AP570" s="40" t="s">
        <v>1604</v>
      </c>
      <c r="AQ570" s="31" t="s">
        <v>1609</v>
      </c>
    </row>
    <row r="571" ht="12.75">
      <c r="D571" s="18" t="s">
        <v>1158</v>
      </c>
    </row>
    <row r="572" spans="1:43" ht="12.75">
      <c r="A572" s="5" t="s">
        <v>339</v>
      </c>
      <c r="B572" s="5" t="s">
        <v>590</v>
      </c>
      <c r="C572" s="5" t="s">
        <v>742</v>
      </c>
      <c r="D572" s="5" t="s">
        <v>1159</v>
      </c>
      <c r="E572" s="5" t="s">
        <v>1494</v>
      </c>
      <c r="F572" s="22">
        <v>3</v>
      </c>
      <c r="G572" s="22">
        <v>0</v>
      </c>
      <c r="H572" s="22">
        <f aca="true" t="shared" si="136" ref="H572:H578">F572*AE572</f>
        <v>0</v>
      </c>
      <c r="I572" s="22">
        <f aca="true" t="shared" si="137" ref="I572:I578">J572-H572</f>
        <v>0</v>
      </c>
      <c r="J572" s="22">
        <f aca="true" t="shared" si="138" ref="J572:J578">F572*G572</f>
        <v>0</v>
      </c>
      <c r="K572" s="22">
        <v>4E-05</v>
      </c>
      <c r="L572" s="22">
        <f aca="true" t="shared" si="139" ref="L572:L578">F572*K572</f>
        <v>0.00012000000000000002</v>
      </c>
      <c r="M572" s="35" t="s">
        <v>1523</v>
      </c>
      <c r="N572" s="35" t="s">
        <v>7</v>
      </c>
      <c r="O572" s="22">
        <f aca="true" t="shared" si="140" ref="O572:O578">IF(N572="5",I572,0)</f>
        <v>0</v>
      </c>
      <c r="Z572" s="22">
        <f aca="true" t="shared" si="141" ref="Z572:Z578">IF(AD572=0,J572,0)</f>
        <v>0</v>
      </c>
      <c r="AA572" s="22">
        <f aca="true" t="shared" si="142" ref="AA572:AA578">IF(AD572=15,J572,0)</f>
        <v>0</v>
      </c>
      <c r="AB572" s="22">
        <f aca="true" t="shared" si="143" ref="AB572:AB578">IF(AD572=21,J572,0)</f>
        <v>0</v>
      </c>
      <c r="AD572" s="39">
        <v>15</v>
      </c>
      <c r="AE572" s="39">
        <f>G572*0.0255212355212355</f>
        <v>0</v>
      </c>
      <c r="AF572" s="39">
        <f>G572*(1-0.0255212355212355)</f>
        <v>0</v>
      </c>
      <c r="AM572" s="39">
        <f aca="true" t="shared" si="144" ref="AM572:AM578">F572*AE572</f>
        <v>0</v>
      </c>
      <c r="AN572" s="39">
        <f aca="true" t="shared" si="145" ref="AN572:AN578">F572*AF572</f>
        <v>0</v>
      </c>
      <c r="AO572" s="40" t="s">
        <v>1565</v>
      </c>
      <c r="AP572" s="40" t="s">
        <v>1604</v>
      </c>
      <c r="AQ572" s="31" t="s">
        <v>1609</v>
      </c>
    </row>
    <row r="573" spans="1:43" ht="12.75">
      <c r="A573" s="5" t="s">
        <v>340</v>
      </c>
      <c r="B573" s="5" t="s">
        <v>590</v>
      </c>
      <c r="C573" s="5" t="s">
        <v>743</v>
      </c>
      <c r="D573" s="5" t="s">
        <v>1160</v>
      </c>
      <c r="E573" s="5" t="s">
        <v>1500</v>
      </c>
      <c r="F573" s="22">
        <v>3</v>
      </c>
      <c r="G573" s="22">
        <v>0</v>
      </c>
      <c r="H573" s="22">
        <f t="shared" si="136"/>
        <v>0</v>
      </c>
      <c r="I573" s="22">
        <f t="shared" si="137"/>
        <v>0</v>
      </c>
      <c r="J573" s="22">
        <f t="shared" si="138"/>
        <v>0</v>
      </c>
      <c r="K573" s="22">
        <v>0.01946</v>
      </c>
      <c r="L573" s="22">
        <f t="shared" si="139"/>
        <v>0.05838</v>
      </c>
      <c r="M573" s="35" t="s">
        <v>1523</v>
      </c>
      <c r="N573" s="35" t="s">
        <v>7</v>
      </c>
      <c r="O573" s="22">
        <f t="shared" si="140"/>
        <v>0</v>
      </c>
      <c r="Z573" s="22">
        <f t="shared" si="141"/>
        <v>0</v>
      </c>
      <c r="AA573" s="22">
        <f t="shared" si="142"/>
        <v>0</v>
      </c>
      <c r="AB573" s="22">
        <f t="shared" si="143"/>
        <v>0</v>
      </c>
      <c r="AD573" s="39">
        <v>15</v>
      </c>
      <c r="AE573" s="39">
        <f>G573*0</f>
        <v>0</v>
      </c>
      <c r="AF573" s="39">
        <f>G573*(1-0)</f>
        <v>0</v>
      </c>
      <c r="AM573" s="39">
        <f t="shared" si="144"/>
        <v>0</v>
      </c>
      <c r="AN573" s="39">
        <f t="shared" si="145"/>
        <v>0</v>
      </c>
      <c r="AO573" s="40" t="s">
        <v>1565</v>
      </c>
      <c r="AP573" s="40" t="s">
        <v>1604</v>
      </c>
      <c r="AQ573" s="31" t="s">
        <v>1609</v>
      </c>
    </row>
    <row r="574" spans="1:43" ht="12.75">
      <c r="A574" s="5" t="s">
        <v>341</v>
      </c>
      <c r="B574" s="5" t="s">
        <v>590</v>
      </c>
      <c r="C574" s="5" t="s">
        <v>744</v>
      </c>
      <c r="D574" s="5" t="s">
        <v>1161</v>
      </c>
      <c r="E574" s="5" t="s">
        <v>1500</v>
      </c>
      <c r="F574" s="22">
        <v>3</v>
      </c>
      <c r="G574" s="22">
        <v>0</v>
      </c>
      <c r="H574" s="22">
        <f t="shared" si="136"/>
        <v>0</v>
      </c>
      <c r="I574" s="22">
        <f t="shared" si="137"/>
        <v>0</v>
      </c>
      <c r="J574" s="22">
        <f t="shared" si="138"/>
        <v>0</v>
      </c>
      <c r="K574" s="22">
        <v>0.0329</v>
      </c>
      <c r="L574" s="22">
        <f t="shared" si="139"/>
        <v>0.0987</v>
      </c>
      <c r="M574" s="35" t="s">
        <v>1523</v>
      </c>
      <c r="N574" s="35" t="s">
        <v>7</v>
      </c>
      <c r="O574" s="22">
        <f t="shared" si="140"/>
        <v>0</v>
      </c>
      <c r="Z574" s="22">
        <f t="shared" si="141"/>
        <v>0</v>
      </c>
      <c r="AA574" s="22">
        <f t="shared" si="142"/>
        <v>0</v>
      </c>
      <c r="AB574" s="22">
        <f t="shared" si="143"/>
        <v>0</v>
      </c>
      <c r="AD574" s="39">
        <v>15</v>
      </c>
      <c r="AE574" s="39">
        <f>G574*0</f>
        <v>0</v>
      </c>
      <c r="AF574" s="39">
        <f>G574*(1-0)</f>
        <v>0</v>
      </c>
      <c r="AM574" s="39">
        <f t="shared" si="144"/>
        <v>0</v>
      </c>
      <c r="AN574" s="39">
        <f t="shared" si="145"/>
        <v>0</v>
      </c>
      <c r="AO574" s="40" t="s">
        <v>1565</v>
      </c>
      <c r="AP574" s="40" t="s">
        <v>1604</v>
      </c>
      <c r="AQ574" s="31" t="s">
        <v>1609</v>
      </c>
    </row>
    <row r="575" spans="1:43" ht="12.75">
      <c r="A575" s="5" t="s">
        <v>342</v>
      </c>
      <c r="B575" s="5" t="s">
        <v>590</v>
      </c>
      <c r="C575" s="5" t="s">
        <v>745</v>
      </c>
      <c r="D575" s="5" t="s">
        <v>1162</v>
      </c>
      <c r="E575" s="5" t="s">
        <v>1500</v>
      </c>
      <c r="F575" s="22">
        <v>3</v>
      </c>
      <c r="G575" s="22">
        <v>0</v>
      </c>
      <c r="H575" s="22">
        <f t="shared" si="136"/>
        <v>0</v>
      </c>
      <c r="I575" s="22">
        <f t="shared" si="137"/>
        <v>0</v>
      </c>
      <c r="J575" s="22">
        <f t="shared" si="138"/>
        <v>0</v>
      </c>
      <c r="K575" s="22">
        <v>0.01933</v>
      </c>
      <c r="L575" s="22">
        <f t="shared" si="139"/>
        <v>0.05799</v>
      </c>
      <c r="M575" s="35" t="s">
        <v>1523</v>
      </c>
      <c r="N575" s="35" t="s">
        <v>7</v>
      </c>
      <c r="O575" s="22">
        <f t="shared" si="140"/>
        <v>0</v>
      </c>
      <c r="Z575" s="22">
        <f t="shared" si="141"/>
        <v>0</v>
      </c>
      <c r="AA575" s="22">
        <f t="shared" si="142"/>
        <v>0</v>
      </c>
      <c r="AB575" s="22">
        <f t="shared" si="143"/>
        <v>0</v>
      </c>
      <c r="AD575" s="39">
        <v>15</v>
      </c>
      <c r="AE575" s="39">
        <f>G575*0</f>
        <v>0</v>
      </c>
      <c r="AF575" s="39">
        <f>G575*(1-0)</f>
        <v>0</v>
      </c>
      <c r="AM575" s="39">
        <f t="shared" si="144"/>
        <v>0</v>
      </c>
      <c r="AN575" s="39">
        <f t="shared" si="145"/>
        <v>0</v>
      </c>
      <c r="AO575" s="40" t="s">
        <v>1565</v>
      </c>
      <c r="AP575" s="40" t="s">
        <v>1604</v>
      </c>
      <c r="AQ575" s="31" t="s">
        <v>1609</v>
      </c>
    </row>
    <row r="576" spans="1:43" ht="12.75">
      <c r="A576" s="5" t="s">
        <v>343</v>
      </c>
      <c r="B576" s="5" t="s">
        <v>590</v>
      </c>
      <c r="C576" s="5" t="s">
        <v>746</v>
      </c>
      <c r="D576" s="5" t="s">
        <v>1163</v>
      </c>
      <c r="E576" s="5" t="s">
        <v>1500</v>
      </c>
      <c r="F576" s="22">
        <v>9</v>
      </c>
      <c r="G576" s="22">
        <v>0</v>
      </c>
      <c r="H576" s="22">
        <f t="shared" si="136"/>
        <v>0</v>
      </c>
      <c r="I576" s="22">
        <f t="shared" si="137"/>
        <v>0</v>
      </c>
      <c r="J576" s="22">
        <f t="shared" si="138"/>
        <v>0</v>
      </c>
      <c r="K576" s="22">
        <v>0.00156</v>
      </c>
      <c r="L576" s="22">
        <f t="shared" si="139"/>
        <v>0.01404</v>
      </c>
      <c r="M576" s="35" t="s">
        <v>1523</v>
      </c>
      <c r="N576" s="35" t="s">
        <v>7</v>
      </c>
      <c r="O576" s="22">
        <f t="shared" si="140"/>
        <v>0</v>
      </c>
      <c r="Z576" s="22">
        <f t="shared" si="141"/>
        <v>0</v>
      </c>
      <c r="AA576" s="22">
        <f t="shared" si="142"/>
        <v>0</v>
      </c>
      <c r="AB576" s="22">
        <f t="shared" si="143"/>
        <v>0</v>
      </c>
      <c r="AD576" s="39">
        <v>15</v>
      </c>
      <c r="AE576" s="39">
        <f>G576*0</f>
        <v>0</v>
      </c>
      <c r="AF576" s="39">
        <f>G576*(1-0)</f>
        <v>0</v>
      </c>
      <c r="AM576" s="39">
        <f t="shared" si="144"/>
        <v>0</v>
      </c>
      <c r="AN576" s="39">
        <f t="shared" si="145"/>
        <v>0</v>
      </c>
      <c r="AO576" s="40" t="s">
        <v>1565</v>
      </c>
      <c r="AP576" s="40" t="s">
        <v>1604</v>
      </c>
      <c r="AQ576" s="31" t="s">
        <v>1609</v>
      </c>
    </row>
    <row r="577" spans="1:43" ht="12.75">
      <c r="A577" s="5" t="s">
        <v>344</v>
      </c>
      <c r="B577" s="5" t="s">
        <v>590</v>
      </c>
      <c r="C577" s="5" t="s">
        <v>747</v>
      </c>
      <c r="D577" s="5" t="s">
        <v>1164</v>
      </c>
      <c r="E577" s="5" t="s">
        <v>1500</v>
      </c>
      <c r="F577" s="22">
        <v>6</v>
      </c>
      <c r="G577" s="22">
        <v>0</v>
      </c>
      <c r="H577" s="22">
        <f t="shared" si="136"/>
        <v>0</v>
      </c>
      <c r="I577" s="22">
        <f t="shared" si="137"/>
        <v>0</v>
      </c>
      <c r="J577" s="22">
        <f t="shared" si="138"/>
        <v>0</v>
      </c>
      <c r="K577" s="22">
        <v>0.00086</v>
      </c>
      <c r="L577" s="22">
        <f t="shared" si="139"/>
        <v>0.00516</v>
      </c>
      <c r="M577" s="35" t="s">
        <v>1523</v>
      </c>
      <c r="N577" s="35" t="s">
        <v>7</v>
      </c>
      <c r="O577" s="22">
        <f t="shared" si="140"/>
        <v>0</v>
      </c>
      <c r="Z577" s="22">
        <f t="shared" si="141"/>
        <v>0</v>
      </c>
      <c r="AA577" s="22">
        <f t="shared" si="142"/>
        <v>0</v>
      </c>
      <c r="AB577" s="22">
        <f t="shared" si="143"/>
        <v>0</v>
      </c>
      <c r="AD577" s="39">
        <v>15</v>
      </c>
      <c r="AE577" s="39">
        <f>G577*0</f>
        <v>0</v>
      </c>
      <c r="AF577" s="39">
        <f>G577*(1-0)</f>
        <v>0</v>
      </c>
      <c r="AM577" s="39">
        <f t="shared" si="144"/>
        <v>0</v>
      </c>
      <c r="AN577" s="39">
        <f t="shared" si="145"/>
        <v>0</v>
      </c>
      <c r="AO577" s="40" t="s">
        <v>1565</v>
      </c>
      <c r="AP577" s="40" t="s">
        <v>1604</v>
      </c>
      <c r="AQ577" s="31" t="s">
        <v>1609</v>
      </c>
    </row>
    <row r="578" spans="1:43" ht="12.75">
      <c r="A578" s="5" t="s">
        <v>345</v>
      </c>
      <c r="B578" s="5" t="s">
        <v>590</v>
      </c>
      <c r="C578" s="5" t="s">
        <v>748</v>
      </c>
      <c r="D578" s="5" t="s">
        <v>1165</v>
      </c>
      <c r="E578" s="5" t="s">
        <v>1494</v>
      </c>
      <c r="F578" s="22">
        <v>6</v>
      </c>
      <c r="G578" s="22">
        <v>0</v>
      </c>
      <c r="H578" s="22">
        <f t="shared" si="136"/>
        <v>0</v>
      </c>
      <c r="I578" s="22">
        <f t="shared" si="137"/>
        <v>0</v>
      </c>
      <c r="J578" s="22">
        <f t="shared" si="138"/>
        <v>0</v>
      </c>
      <c r="K578" s="22">
        <v>0.0002</v>
      </c>
      <c r="L578" s="22">
        <f t="shared" si="139"/>
        <v>0.0012000000000000001</v>
      </c>
      <c r="M578" s="35" t="s">
        <v>1523</v>
      </c>
      <c r="N578" s="35" t="s">
        <v>7</v>
      </c>
      <c r="O578" s="22">
        <f t="shared" si="140"/>
        <v>0</v>
      </c>
      <c r="Z578" s="22">
        <f t="shared" si="141"/>
        <v>0</v>
      </c>
      <c r="AA578" s="22">
        <f t="shared" si="142"/>
        <v>0</v>
      </c>
      <c r="AB578" s="22">
        <f t="shared" si="143"/>
        <v>0</v>
      </c>
      <c r="AD578" s="39">
        <v>15</v>
      </c>
      <c r="AE578" s="39">
        <f>G578*0.767446504992867</f>
        <v>0</v>
      </c>
      <c r="AF578" s="39">
        <f>G578*(1-0.767446504992867)</f>
        <v>0</v>
      </c>
      <c r="AM578" s="39">
        <f t="shared" si="144"/>
        <v>0</v>
      </c>
      <c r="AN578" s="39">
        <f t="shared" si="145"/>
        <v>0</v>
      </c>
      <c r="AO578" s="40" t="s">
        <v>1565</v>
      </c>
      <c r="AP578" s="40" t="s">
        <v>1604</v>
      </c>
      <c r="AQ578" s="31" t="s">
        <v>1609</v>
      </c>
    </row>
    <row r="579" ht="12.75">
      <c r="D579" s="18" t="s">
        <v>1166</v>
      </c>
    </row>
    <row r="580" spans="1:43" ht="12.75">
      <c r="A580" s="5" t="s">
        <v>346</v>
      </c>
      <c r="B580" s="5" t="s">
        <v>590</v>
      </c>
      <c r="C580" s="5" t="s">
        <v>749</v>
      </c>
      <c r="D580" s="5" t="s">
        <v>1167</v>
      </c>
      <c r="E580" s="5" t="s">
        <v>1500</v>
      </c>
      <c r="F580" s="22">
        <v>6</v>
      </c>
      <c r="G580" s="22">
        <v>0</v>
      </c>
      <c r="H580" s="22">
        <f>F580*AE580</f>
        <v>0</v>
      </c>
      <c r="I580" s="22">
        <f>J580-H580</f>
        <v>0</v>
      </c>
      <c r="J580" s="22">
        <f>F580*G580</f>
        <v>0</v>
      </c>
      <c r="K580" s="22">
        <v>0.00024</v>
      </c>
      <c r="L580" s="22">
        <f>F580*K580</f>
        <v>0.00144</v>
      </c>
      <c r="M580" s="35" t="s">
        <v>1523</v>
      </c>
      <c r="N580" s="35" t="s">
        <v>7</v>
      </c>
      <c r="O580" s="22">
        <f>IF(N580="5",I580,0)</f>
        <v>0</v>
      </c>
      <c r="Z580" s="22">
        <f>IF(AD580=0,J580,0)</f>
        <v>0</v>
      </c>
      <c r="AA580" s="22">
        <f>IF(AD580=15,J580,0)</f>
        <v>0</v>
      </c>
      <c r="AB580" s="22">
        <f>IF(AD580=21,J580,0)</f>
        <v>0</v>
      </c>
      <c r="AD580" s="39">
        <v>15</v>
      </c>
      <c r="AE580" s="39">
        <f>G580*0.900987951807229</f>
        <v>0</v>
      </c>
      <c r="AF580" s="39">
        <f>G580*(1-0.900987951807229)</f>
        <v>0</v>
      </c>
      <c r="AM580" s="39">
        <f>F580*AE580</f>
        <v>0</v>
      </c>
      <c r="AN580" s="39">
        <f>F580*AF580</f>
        <v>0</v>
      </c>
      <c r="AO580" s="40" t="s">
        <v>1565</v>
      </c>
      <c r="AP580" s="40" t="s">
        <v>1604</v>
      </c>
      <c r="AQ580" s="31" t="s">
        <v>1609</v>
      </c>
    </row>
    <row r="581" spans="1:43" ht="12.75">
      <c r="A581" s="5" t="s">
        <v>347</v>
      </c>
      <c r="B581" s="5" t="s">
        <v>590</v>
      </c>
      <c r="C581" s="5" t="s">
        <v>750</v>
      </c>
      <c r="D581" s="5" t="s">
        <v>1168</v>
      </c>
      <c r="E581" s="5" t="s">
        <v>1500</v>
      </c>
      <c r="F581" s="22">
        <v>3</v>
      </c>
      <c r="G581" s="22">
        <v>0</v>
      </c>
      <c r="H581" s="22">
        <f>F581*AE581</f>
        <v>0</v>
      </c>
      <c r="I581" s="22">
        <f>J581-H581</f>
        <v>0</v>
      </c>
      <c r="J581" s="22">
        <f>F581*G581</f>
        <v>0</v>
      </c>
      <c r="K581" s="22">
        <v>0.03494</v>
      </c>
      <c r="L581" s="22">
        <f>F581*K581</f>
        <v>0.10482</v>
      </c>
      <c r="M581" s="35" t="s">
        <v>1523</v>
      </c>
      <c r="N581" s="35" t="s">
        <v>7</v>
      </c>
      <c r="O581" s="22">
        <f>IF(N581="5",I581,0)</f>
        <v>0</v>
      </c>
      <c r="Z581" s="22">
        <f>IF(AD581=0,J581,0)</f>
        <v>0</v>
      </c>
      <c r="AA581" s="22">
        <f>IF(AD581=15,J581,0)</f>
        <v>0</v>
      </c>
      <c r="AB581" s="22">
        <f>IF(AD581=21,J581,0)</f>
        <v>0</v>
      </c>
      <c r="AD581" s="39">
        <v>15</v>
      </c>
      <c r="AE581" s="39">
        <f>G581*0.906971050454921</f>
        <v>0</v>
      </c>
      <c r="AF581" s="39">
        <f>G581*(1-0.906971050454921)</f>
        <v>0</v>
      </c>
      <c r="AM581" s="39">
        <f>F581*AE581</f>
        <v>0</v>
      </c>
      <c r="AN581" s="39">
        <f>F581*AF581</f>
        <v>0</v>
      </c>
      <c r="AO581" s="40" t="s">
        <v>1565</v>
      </c>
      <c r="AP581" s="40" t="s">
        <v>1604</v>
      </c>
      <c r="AQ581" s="31" t="s">
        <v>1609</v>
      </c>
    </row>
    <row r="582" ht="12.75">
      <c r="D582" s="18" t="s">
        <v>1169</v>
      </c>
    </row>
    <row r="583" spans="1:43" ht="12.75">
      <c r="A583" s="6" t="s">
        <v>348</v>
      </c>
      <c r="B583" s="6" t="s">
        <v>590</v>
      </c>
      <c r="C583" s="6" t="s">
        <v>731</v>
      </c>
      <c r="D583" s="6" t="s">
        <v>1145</v>
      </c>
      <c r="E583" s="6" t="s">
        <v>1494</v>
      </c>
      <c r="F583" s="24">
        <v>3</v>
      </c>
      <c r="G583" s="24">
        <v>0</v>
      </c>
      <c r="H583" s="24">
        <f>F583*AE583</f>
        <v>0</v>
      </c>
      <c r="I583" s="24">
        <f>J583-H583</f>
        <v>0</v>
      </c>
      <c r="J583" s="24">
        <f>F583*G583</f>
        <v>0</v>
      </c>
      <c r="K583" s="24">
        <v>0</v>
      </c>
      <c r="L583" s="24">
        <f>F583*K583</f>
        <v>0</v>
      </c>
      <c r="M583" s="36" t="s">
        <v>1523</v>
      </c>
      <c r="N583" s="36" t="s">
        <v>1526</v>
      </c>
      <c r="O583" s="24">
        <f>IF(N583="5",I583,0)</f>
        <v>0</v>
      </c>
      <c r="Z583" s="24">
        <f>IF(AD583=0,J583,0)</f>
        <v>0</v>
      </c>
      <c r="AA583" s="24">
        <f>IF(AD583=15,J583,0)</f>
        <v>0</v>
      </c>
      <c r="AB583" s="24">
        <f>IF(AD583=21,J583,0)</f>
        <v>0</v>
      </c>
      <c r="AD583" s="39">
        <v>15</v>
      </c>
      <c r="AE583" s="39">
        <f>G583*1</f>
        <v>0</v>
      </c>
      <c r="AF583" s="39">
        <f>G583*(1-1)</f>
        <v>0</v>
      </c>
      <c r="AM583" s="39">
        <f>F583*AE583</f>
        <v>0</v>
      </c>
      <c r="AN583" s="39">
        <f>F583*AF583</f>
        <v>0</v>
      </c>
      <c r="AO583" s="40" t="s">
        <v>1565</v>
      </c>
      <c r="AP583" s="40" t="s">
        <v>1604</v>
      </c>
      <c r="AQ583" s="31" t="s">
        <v>1609</v>
      </c>
    </row>
    <row r="584" spans="1:43" ht="12.75">
      <c r="A584" s="6" t="s">
        <v>349</v>
      </c>
      <c r="B584" s="6" t="s">
        <v>590</v>
      </c>
      <c r="C584" s="6" t="s">
        <v>734</v>
      </c>
      <c r="D584" s="6" t="s">
        <v>1149</v>
      </c>
      <c r="E584" s="6" t="s">
        <v>1494</v>
      </c>
      <c r="F584" s="24">
        <v>3</v>
      </c>
      <c r="G584" s="24">
        <v>0</v>
      </c>
      <c r="H584" s="24">
        <f>F584*AE584</f>
        <v>0</v>
      </c>
      <c r="I584" s="24">
        <f>J584-H584</f>
        <v>0</v>
      </c>
      <c r="J584" s="24">
        <f>F584*G584</f>
        <v>0</v>
      </c>
      <c r="K584" s="24">
        <v>0.03</v>
      </c>
      <c r="L584" s="24">
        <f>F584*K584</f>
        <v>0.09</v>
      </c>
      <c r="M584" s="36" t="s">
        <v>1523</v>
      </c>
      <c r="N584" s="36" t="s">
        <v>1526</v>
      </c>
      <c r="O584" s="24">
        <f>IF(N584="5",I584,0)</f>
        <v>0</v>
      </c>
      <c r="Z584" s="24">
        <f>IF(AD584=0,J584,0)</f>
        <v>0</v>
      </c>
      <c r="AA584" s="24">
        <f>IF(AD584=15,J584,0)</f>
        <v>0</v>
      </c>
      <c r="AB584" s="24">
        <f>IF(AD584=21,J584,0)</f>
        <v>0</v>
      </c>
      <c r="AD584" s="39">
        <v>15</v>
      </c>
      <c r="AE584" s="39">
        <f>G584*1</f>
        <v>0</v>
      </c>
      <c r="AF584" s="39">
        <f>G584*(1-1)</f>
        <v>0</v>
      </c>
      <c r="AM584" s="39">
        <f>F584*AE584</f>
        <v>0</v>
      </c>
      <c r="AN584" s="39">
        <f>F584*AF584</f>
        <v>0</v>
      </c>
      <c r="AO584" s="40" t="s">
        <v>1565</v>
      </c>
      <c r="AP584" s="40" t="s">
        <v>1604</v>
      </c>
      <c r="AQ584" s="31" t="s">
        <v>1609</v>
      </c>
    </row>
    <row r="585" spans="1:43" ht="12.75">
      <c r="A585" s="6" t="s">
        <v>350</v>
      </c>
      <c r="B585" s="6" t="s">
        <v>590</v>
      </c>
      <c r="C585" s="6" t="s">
        <v>736</v>
      </c>
      <c r="D585" s="6" t="s">
        <v>1151</v>
      </c>
      <c r="E585" s="6" t="s">
        <v>1494</v>
      </c>
      <c r="F585" s="24">
        <v>3</v>
      </c>
      <c r="G585" s="24">
        <v>0</v>
      </c>
      <c r="H585" s="24">
        <f>F585*AE585</f>
        <v>0</v>
      </c>
      <c r="I585" s="24">
        <f>J585-H585</f>
        <v>0</v>
      </c>
      <c r="J585" s="24">
        <f>F585*G585</f>
        <v>0</v>
      </c>
      <c r="K585" s="24">
        <v>0.016</v>
      </c>
      <c r="L585" s="24">
        <f>F585*K585</f>
        <v>0.048</v>
      </c>
      <c r="M585" s="36" t="s">
        <v>1523</v>
      </c>
      <c r="N585" s="36" t="s">
        <v>1526</v>
      </c>
      <c r="O585" s="24">
        <f>IF(N585="5",I585,0)</f>
        <v>0</v>
      </c>
      <c r="Z585" s="24">
        <f>IF(AD585=0,J585,0)</f>
        <v>0</v>
      </c>
      <c r="AA585" s="24">
        <f>IF(AD585=15,J585,0)</f>
        <v>0</v>
      </c>
      <c r="AB585" s="24">
        <f>IF(AD585=21,J585,0)</f>
        <v>0</v>
      </c>
      <c r="AD585" s="39">
        <v>15</v>
      </c>
      <c r="AE585" s="39">
        <f>G585*1</f>
        <v>0</v>
      </c>
      <c r="AF585" s="39">
        <f>G585*(1-1)</f>
        <v>0</v>
      </c>
      <c r="AM585" s="39">
        <f>F585*AE585</f>
        <v>0</v>
      </c>
      <c r="AN585" s="39">
        <f>F585*AF585</f>
        <v>0</v>
      </c>
      <c r="AO585" s="40" t="s">
        <v>1565</v>
      </c>
      <c r="AP585" s="40" t="s">
        <v>1604</v>
      </c>
      <c r="AQ585" s="31" t="s">
        <v>1609</v>
      </c>
    </row>
    <row r="586" spans="1:43" ht="12.75">
      <c r="A586" s="6" t="s">
        <v>351</v>
      </c>
      <c r="B586" s="6" t="s">
        <v>590</v>
      </c>
      <c r="C586" s="6" t="s">
        <v>738</v>
      </c>
      <c r="D586" s="6" t="s">
        <v>1154</v>
      </c>
      <c r="E586" s="6" t="s">
        <v>1494</v>
      </c>
      <c r="F586" s="24">
        <v>3</v>
      </c>
      <c r="G586" s="24">
        <v>0</v>
      </c>
      <c r="H586" s="24">
        <f>F586*AE586</f>
        <v>0</v>
      </c>
      <c r="I586" s="24">
        <f>J586-H586</f>
        <v>0</v>
      </c>
      <c r="J586" s="24">
        <f>F586*G586</f>
        <v>0</v>
      </c>
      <c r="K586" s="24">
        <v>0.006</v>
      </c>
      <c r="L586" s="24">
        <f>F586*K586</f>
        <v>0.018000000000000002</v>
      </c>
      <c r="M586" s="36" t="s">
        <v>1523</v>
      </c>
      <c r="N586" s="36" t="s">
        <v>1526</v>
      </c>
      <c r="O586" s="24">
        <f>IF(N586="5",I586,0)</f>
        <v>0</v>
      </c>
      <c r="Z586" s="24">
        <f>IF(AD586=0,J586,0)</f>
        <v>0</v>
      </c>
      <c r="AA586" s="24">
        <f>IF(AD586=15,J586,0)</f>
        <v>0</v>
      </c>
      <c r="AB586" s="24">
        <f>IF(AD586=21,J586,0)</f>
        <v>0</v>
      </c>
      <c r="AD586" s="39">
        <v>15</v>
      </c>
      <c r="AE586" s="39">
        <f>G586*1</f>
        <v>0</v>
      </c>
      <c r="AF586" s="39">
        <f>G586*(1-1)</f>
        <v>0</v>
      </c>
      <c r="AM586" s="39">
        <f>F586*AE586</f>
        <v>0</v>
      </c>
      <c r="AN586" s="39">
        <f>F586*AF586</f>
        <v>0</v>
      </c>
      <c r="AO586" s="40" t="s">
        <v>1565</v>
      </c>
      <c r="AP586" s="40" t="s">
        <v>1604</v>
      </c>
      <c r="AQ586" s="31" t="s">
        <v>1609</v>
      </c>
    </row>
    <row r="587" spans="1:43" ht="12.75">
      <c r="A587" s="6" t="s">
        <v>352</v>
      </c>
      <c r="B587" s="6" t="s">
        <v>590</v>
      </c>
      <c r="C587" s="6" t="s">
        <v>739</v>
      </c>
      <c r="D587" s="6" t="s">
        <v>1155</v>
      </c>
      <c r="E587" s="6" t="s">
        <v>1494</v>
      </c>
      <c r="F587" s="24">
        <v>3</v>
      </c>
      <c r="G587" s="24">
        <v>0</v>
      </c>
      <c r="H587" s="24">
        <f>F587*AE587</f>
        <v>0</v>
      </c>
      <c r="I587" s="24">
        <f>J587-H587</f>
        <v>0</v>
      </c>
      <c r="J587" s="24">
        <f>F587*G587</f>
        <v>0</v>
      </c>
      <c r="K587" s="24">
        <v>0.00032</v>
      </c>
      <c r="L587" s="24">
        <f>F587*K587</f>
        <v>0.0009600000000000001</v>
      </c>
      <c r="M587" s="36" t="s">
        <v>1523</v>
      </c>
      <c r="N587" s="36" t="s">
        <v>1526</v>
      </c>
      <c r="O587" s="24">
        <f>IF(N587="5",I587,0)</f>
        <v>0</v>
      </c>
      <c r="Z587" s="24">
        <f>IF(AD587=0,J587,0)</f>
        <v>0</v>
      </c>
      <c r="AA587" s="24">
        <f>IF(AD587=15,J587,0)</f>
        <v>0</v>
      </c>
      <c r="AB587" s="24">
        <f>IF(AD587=21,J587,0)</f>
        <v>0</v>
      </c>
      <c r="AD587" s="39">
        <v>15</v>
      </c>
      <c r="AE587" s="39">
        <f>G587*1</f>
        <v>0</v>
      </c>
      <c r="AF587" s="39">
        <f>G587*(1-1)</f>
        <v>0</v>
      </c>
      <c r="AM587" s="39">
        <f>F587*AE587</f>
        <v>0</v>
      </c>
      <c r="AN587" s="39">
        <f>F587*AF587</f>
        <v>0</v>
      </c>
      <c r="AO587" s="40" t="s">
        <v>1565</v>
      </c>
      <c r="AP587" s="40" t="s">
        <v>1604</v>
      </c>
      <c r="AQ587" s="31" t="s">
        <v>1609</v>
      </c>
    </row>
    <row r="588" spans="1:37" ht="12.75">
      <c r="A588" s="4"/>
      <c r="B588" s="14" t="s">
        <v>590</v>
      </c>
      <c r="C588" s="14" t="s">
        <v>751</v>
      </c>
      <c r="D588" s="104" t="s">
        <v>1170</v>
      </c>
      <c r="E588" s="105"/>
      <c r="F588" s="105"/>
      <c r="G588" s="105"/>
      <c r="H588" s="42">
        <f>SUM(H589:H597)</f>
        <v>0</v>
      </c>
      <c r="I588" s="42">
        <f>SUM(I589:I597)</f>
        <v>0</v>
      </c>
      <c r="J588" s="42">
        <f>H588+I588</f>
        <v>0</v>
      </c>
      <c r="K588" s="31"/>
      <c r="L588" s="42">
        <f>SUM(L589:L597)</f>
        <v>0.08504</v>
      </c>
      <c r="M588" s="31"/>
      <c r="P588" s="42">
        <f>IF(Q588="PR",J588,SUM(O589:O597))</f>
        <v>0</v>
      </c>
      <c r="Q588" s="31" t="s">
        <v>1530</v>
      </c>
      <c r="R588" s="42">
        <f>IF(Q588="HS",H588,0)</f>
        <v>0</v>
      </c>
      <c r="S588" s="42">
        <f>IF(Q588="HS",I588-P588,0)</f>
        <v>0</v>
      </c>
      <c r="T588" s="42">
        <f>IF(Q588="PS",H588,0)</f>
        <v>0</v>
      </c>
      <c r="U588" s="42">
        <f>IF(Q588="PS",I588-P588,0)</f>
        <v>0</v>
      </c>
      <c r="V588" s="42">
        <f>IF(Q588="MP",H588,0)</f>
        <v>0</v>
      </c>
      <c r="W588" s="42">
        <f>IF(Q588="MP",I588-P588,0)</f>
        <v>0</v>
      </c>
      <c r="X588" s="42">
        <f>IF(Q588="OM",H588,0)</f>
        <v>0</v>
      </c>
      <c r="Y588" s="31" t="s">
        <v>590</v>
      </c>
      <c r="AI588" s="42">
        <f>SUM(Z589:Z597)</f>
        <v>0</v>
      </c>
      <c r="AJ588" s="42">
        <f>SUM(AA589:AA597)</f>
        <v>0</v>
      </c>
      <c r="AK588" s="42">
        <f>SUM(AB589:AB597)</f>
        <v>0</v>
      </c>
    </row>
    <row r="589" spans="1:43" ht="12.75">
      <c r="A589" s="6" t="s">
        <v>353</v>
      </c>
      <c r="B589" s="6" t="s">
        <v>590</v>
      </c>
      <c r="C589" s="6" t="s">
        <v>854</v>
      </c>
      <c r="D589" s="6" t="s">
        <v>1316</v>
      </c>
      <c r="E589" s="6" t="s">
        <v>1494</v>
      </c>
      <c r="F589" s="24">
        <v>1</v>
      </c>
      <c r="G589" s="24">
        <v>0</v>
      </c>
      <c r="H589" s="24">
        <f>F589*AE589</f>
        <v>0</v>
      </c>
      <c r="I589" s="24">
        <f>J589-H589</f>
        <v>0</v>
      </c>
      <c r="J589" s="24">
        <f>F589*G589</f>
        <v>0</v>
      </c>
      <c r="K589" s="24">
        <v>0.00044</v>
      </c>
      <c r="L589" s="24">
        <f>F589*K589</f>
        <v>0.00044</v>
      </c>
      <c r="M589" s="36" t="s">
        <v>1523</v>
      </c>
      <c r="N589" s="36" t="s">
        <v>1526</v>
      </c>
      <c r="O589" s="24">
        <f>IF(N589="5",I589,0)</f>
        <v>0</v>
      </c>
      <c r="Z589" s="24">
        <f>IF(AD589=0,J589,0)</f>
        <v>0</v>
      </c>
      <c r="AA589" s="24">
        <f>IF(AD589=15,J589,0)</f>
        <v>0</v>
      </c>
      <c r="AB589" s="24">
        <f>IF(AD589=21,J589,0)</f>
        <v>0</v>
      </c>
      <c r="AD589" s="39">
        <v>15</v>
      </c>
      <c r="AE589" s="39">
        <f>G589*1</f>
        <v>0</v>
      </c>
      <c r="AF589" s="39">
        <f>G589*(1-1)</f>
        <v>0</v>
      </c>
      <c r="AM589" s="39">
        <f>F589*AE589</f>
        <v>0</v>
      </c>
      <c r="AN589" s="39">
        <f>F589*AF589</f>
        <v>0</v>
      </c>
      <c r="AO589" s="40" t="s">
        <v>1566</v>
      </c>
      <c r="AP589" s="40" t="s">
        <v>1604</v>
      </c>
      <c r="AQ589" s="31" t="s">
        <v>1609</v>
      </c>
    </row>
    <row r="590" spans="1:43" ht="12.75">
      <c r="A590" s="5" t="s">
        <v>354</v>
      </c>
      <c r="B590" s="5" t="s">
        <v>590</v>
      </c>
      <c r="C590" s="5" t="s">
        <v>752</v>
      </c>
      <c r="D590" s="5" t="s">
        <v>1171</v>
      </c>
      <c r="E590" s="5" t="s">
        <v>1495</v>
      </c>
      <c r="F590" s="22">
        <v>30</v>
      </c>
      <c r="G590" s="22">
        <v>0</v>
      </c>
      <c r="H590" s="22">
        <f>F590*AE590</f>
        <v>0</v>
      </c>
      <c r="I590" s="22">
        <f>J590-H590</f>
        <v>0</v>
      </c>
      <c r="J590" s="22">
        <f>F590*G590</f>
        <v>0</v>
      </c>
      <c r="K590" s="22">
        <v>0</v>
      </c>
      <c r="L590" s="22">
        <f>F590*K590</f>
        <v>0</v>
      </c>
      <c r="M590" s="35" t="s">
        <v>1523</v>
      </c>
      <c r="N590" s="35" t="s">
        <v>7</v>
      </c>
      <c r="O590" s="22">
        <f>IF(N590="5",I590,0)</f>
        <v>0</v>
      </c>
      <c r="Z590" s="22">
        <f>IF(AD590=0,J590,0)</f>
        <v>0</v>
      </c>
      <c r="AA590" s="22">
        <f>IF(AD590=15,J590,0)</f>
        <v>0</v>
      </c>
      <c r="AB590" s="22">
        <f>IF(AD590=21,J590,0)</f>
        <v>0</v>
      </c>
      <c r="AD590" s="39">
        <v>15</v>
      </c>
      <c r="AE590" s="39">
        <f>G590*0</f>
        <v>0</v>
      </c>
      <c r="AF590" s="39">
        <f>G590*(1-0)</f>
        <v>0</v>
      </c>
      <c r="AM590" s="39">
        <f>F590*AE590</f>
        <v>0</v>
      </c>
      <c r="AN590" s="39">
        <f>F590*AF590</f>
        <v>0</v>
      </c>
      <c r="AO590" s="40" t="s">
        <v>1566</v>
      </c>
      <c r="AP590" s="40" t="s">
        <v>1604</v>
      </c>
      <c r="AQ590" s="31" t="s">
        <v>1609</v>
      </c>
    </row>
    <row r="591" spans="1:43" ht="12.75">
      <c r="A591" s="5" t="s">
        <v>355</v>
      </c>
      <c r="B591" s="5" t="s">
        <v>590</v>
      </c>
      <c r="C591" s="5" t="s">
        <v>644</v>
      </c>
      <c r="D591" s="5" t="s">
        <v>1045</v>
      </c>
      <c r="E591" s="5" t="s">
        <v>1497</v>
      </c>
      <c r="F591" s="22">
        <v>5</v>
      </c>
      <c r="G591" s="22">
        <v>0</v>
      </c>
      <c r="H591" s="22">
        <f>F591*AE591</f>
        <v>0</v>
      </c>
      <c r="I591" s="22">
        <f>J591-H591</f>
        <v>0</v>
      </c>
      <c r="J591" s="22">
        <f>F591*G591</f>
        <v>0</v>
      </c>
      <c r="K591" s="22">
        <v>0</v>
      </c>
      <c r="L591" s="22">
        <f>F591*K591</f>
        <v>0</v>
      </c>
      <c r="M591" s="35" t="s">
        <v>1523</v>
      </c>
      <c r="N591" s="35" t="s">
        <v>7</v>
      </c>
      <c r="O591" s="22">
        <f>IF(N591="5",I591,0)</f>
        <v>0</v>
      </c>
      <c r="Z591" s="22">
        <f>IF(AD591=0,J591,0)</f>
        <v>0</v>
      </c>
      <c r="AA591" s="22">
        <f>IF(AD591=15,J591,0)</f>
        <v>0</v>
      </c>
      <c r="AB591" s="22">
        <f>IF(AD591=21,J591,0)</f>
        <v>0</v>
      </c>
      <c r="AD591" s="39">
        <v>15</v>
      </c>
      <c r="AE591" s="39">
        <f>G591*0</f>
        <v>0</v>
      </c>
      <c r="AF591" s="39">
        <f>G591*(1-0)</f>
        <v>0</v>
      </c>
      <c r="AM591" s="39">
        <f>F591*AE591</f>
        <v>0</v>
      </c>
      <c r="AN591" s="39">
        <f>F591*AF591</f>
        <v>0</v>
      </c>
      <c r="AO591" s="40" t="s">
        <v>1566</v>
      </c>
      <c r="AP591" s="40" t="s">
        <v>1604</v>
      </c>
      <c r="AQ591" s="31" t="s">
        <v>1609</v>
      </c>
    </row>
    <row r="592" ht="12.75">
      <c r="D592" s="18" t="s">
        <v>1317</v>
      </c>
    </row>
    <row r="593" spans="1:43" ht="12.75">
      <c r="A593" s="6" t="s">
        <v>356</v>
      </c>
      <c r="B593" s="6" t="s">
        <v>590</v>
      </c>
      <c r="C593" s="6" t="s">
        <v>753</v>
      </c>
      <c r="D593" s="6" t="s">
        <v>1172</v>
      </c>
      <c r="E593" s="6" t="s">
        <v>1494</v>
      </c>
      <c r="F593" s="24">
        <v>10</v>
      </c>
      <c r="G593" s="24">
        <v>0</v>
      </c>
      <c r="H593" s="24">
        <f>F593*AE593</f>
        <v>0</v>
      </c>
      <c r="I593" s="24">
        <f>J593-H593</f>
        <v>0</v>
      </c>
      <c r="J593" s="24">
        <f>F593*G593</f>
        <v>0</v>
      </c>
      <c r="K593" s="24">
        <v>0.00381</v>
      </c>
      <c r="L593" s="24">
        <f>F593*K593</f>
        <v>0.0381</v>
      </c>
      <c r="M593" s="36" t="s">
        <v>1523</v>
      </c>
      <c r="N593" s="36" t="s">
        <v>1526</v>
      </c>
      <c r="O593" s="24">
        <f>IF(N593="5",I593,0)</f>
        <v>0</v>
      </c>
      <c r="Z593" s="24">
        <f>IF(AD593=0,J593,0)</f>
        <v>0</v>
      </c>
      <c r="AA593" s="24">
        <f>IF(AD593=15,J593,0)</f>
        <v>0</v>
      </c>
      <c r="AB593" s="24">
        <f>IF(AD593=21,J593,0)</f>
        <v>0</v>
      </c>
      <c r="AD593" s="39">
        <v>15</v>
      </c>
      <c r="AE593" s="39">
        <f>G593*1</f>
        <v>0</v>
      </c>
      <c r="AF593" s="39">
        <f>G593*(1-1)</f>
        <v>0</v>
      </c>
      <c r="AM593" s="39">
        <f>F593*AE593</f>
        <v>0</v>
      </c>
      <c r="AN593" s="39">
        <f>F593*AF593</f>
        <v>0</v>
      </c>
      <c r="AO593" s="40" t="s">
        <v>1566</v>
      </c>
      <c r="AP593" s="40" t="s">
        <v>1604</v>
      </c>
      <c r="AQ593" s="31" t="s">
        <v>1609</v>
      </c>
    </row>
    <row r="594" spans="1:43" ht="12.75">
      <c r="A594" s="6" t="s">
        <v>357</v>
      </c>
      <c r="B594" s="6" t="s">
        <v>590</v>
      </c>
      <c r="C594" s="6" t="s">
        <v>754</v>
      </c>
      <c r="D594" s="6" t="s">
        <v>1318</v>
      </c>
      <c r="E594" s="6" t="s">
        <v>1494</v>
      </c>
      <c r="F594" s="24">
        <v>3</v>
      </c>
      <c r="G594" s="24">
        <v>0</v>
      </c>
      <c r="H594" s="24">
        <f>F594*AE594</f>
        <v>0</v>
      </c>
      <c r="I594" s="24">
        <f>J594-H594</f>
        <v>0</v>
      </c>
      <c r="J594" s="24">
        <f>F594*G594</f>
        <v>0</v>
      </c>
      <c r="K594" s="24">
        <v>0.0005</v>
      </c>
      <c r="L594" s="24">
        <f>F594*K594</f>
        <v>0.0015</v>
      </c>
      <c r="M594" s="36" t="s">
        <v>1523</v>
      </c>
      <c r="N594" s="36" t="s">
        <v>1526</v>
      </c>
      <c r="O594" s="24">
        <f>IF(N594="5",I594,0)</f>
        <v>0</v>
      </c>
      <c r="Z594" s="24">
        <f>IF(AD594=0,J594,0)</f>
        <v>0</v>
      </c>
      <c r="AA594" s="24">
        <f>IF(AD594=15,J594,0)</f>
        <v>0</v>
      </c>
      <c r="AB594" s="24">
        <f>IF(AD594=21,J594,0)</f>
        <v>0</v>
      </c>
      <c r="AD594" s="39">
        <v>15</v>
      </c>
      <c r="AE594" s="39">
        <f>G594*1</f>
        <v>0</v>
      </c>
      <c r="AF594" s="39">
        <f>G594*(1-1)</f>
        <v>0</v>
      </c>
      <c r="AM594" s="39">
        <f>F594*AE594</f>
        <v>0</v>
      </c>
      <c r="AN594" s="39">
        <f>F594*AF594</f>
        <v>0</v>
      </c>
      <c r="AO594" s="40" t="s">
        <v>1566</v>
      </c>
      <c r="AP594" s="40" t="s">
        <v>1604</v>
      </c>
      <c r="AQ594" s="31" t="s">
        <v>1609</v>
      </c>
    </row>
    <row r="595" spans="1:43" ht="12.75">
      <c r="A595" s="5" t="s">
        <v>358</v>
      </c>
      <c r="B595" s="5" t="s">
        <v>590</v>
      </c>
      <c r="C595" s="5" t="s">
        <v>757</v>
      </c>
      <c r="D595" s="5" t="s">
        <v>1177</v>
      </c>
      <c r="E595" s="5" t="s">
        <v>1494</v>
      </c>
      <c r="F595" s="22">
        <v>3</v>
      </c>
      <c r="G595" s="22">
        <v>0</v>
      </c>
      <c r="H595" s="22">
        <f>F595*AE595</f>
        <v>0</v>
      </c>
      <c r="I595" s="22">
        <f>J595-H595</f>
        <v>0</v>
      </c>
      <c r="J595" s="22">
        <f>F595*G595</f>
        <v>0</v>
      </c>
      <c r="K595" s="22">
        <v>0</v>
      </c>
      <c r="L595" s="22">
        <f>F595*K595</f>
        <v>0</v>
      </c>
      <c r="M595" s="35" t="s">
        <v>1523</v>
      </c>
      <c r="N595" s="35" t="s">
        <v>7</v>
      </c>
      <c r="O595" s="22">
        <f>IF(N595="5",I595,0)</f>
        <v>0</v>
      </c>
      <c r="Z595" s="22">
        <f>IF(AD595=0,J595,0)</f>
        <v>0</v>
      </c>
      <c r="AA595" s="22">
        <f>IF(AD595=15,J595,0)</f>
        <v>0</v>
      </c>
      <c r="AB595" s="22">
        <f>IF(AD595=21,J595,0)</f>
        <v>0</v>
      </c>
      <c r="AD595" s="39">
        <v>15</v>
      </c>
      <c r="AE595" s="39">
        <f>G595*0</f>
        <v>0</v>
      </c>
      <c r="AF595" s="39">
        <f>G595*(1-0)</f>
        <v>0</v>
      </c>
      <c r="AM595" s="39">
        <f>F595*AE595</f>
        <v>0</v>
      </c>
      <c r="AN595" s="39">
        <f>F595*AF595</f>
        <v>0</v>
      </c>
      <c r="AO595" s="40" t="s">
        <v>1566</v>
      </c>
      <c r="AP595" s="40" t="s">
        <v>1604</v>
      </c>
      <c r="AQ595" s="31" t="s">
        <v>1609</v>
      </c>
    </row>
    <row r="596" ht="39">
      <c r="D596" s="18" t="s">
        <v>1178</v>
      </c>
    </row>
    <row r="597" spans="1:43" ht="12.75">
      <c r="A597" s="6" t="s">
        <v>359</v>
      </c>
      <c r="B597" s="6" t="s">
        <v>590</v>
      </c>
      <c r="C597" s="6" t="s">
        <v>756</v>
      </c>
      <c r="D597" s="6" t="s">
        <v>1176</v>
      </c>
      <c r="E597" s="6" t="s">
        <v>1494</v>
      </c>
      <c r="F597" s="24">
        <v>3</v>
      </c>
      <c r="G597" s="24">
        <v>0</v>
      </c>
      <c r="H597" s="24">
        <f>F597*AE597</f>
        <v>0</v>
      </c>
      <c r="I597" s="24">
        <f>J597-H597</f>
        <v>0</v>
      </c>
      <c r="J597" s="24">
        <f>F597*G597</f>
        <v>0</v>
      </c>
      <c r="K597" s="24">
        <v>0.015</v>
      </c>
      <c r="L597" s="24">
        <f>F597*K597</f>
        <v>0.045</v>
      </c>
      <c r="M597" s="36" t="s">
        <v>1523</v>
      </c>
      <c r="N597" s="36" t="s">
        <v>1526</v>
      </c>
      <c r="O597" s="24">
        <f>IF(N597="5",I597,0)</f>
        <v>0</v>
      </c>
      <c r="Z597" s="24">
        <f>IF(AD597=0,J597,0)</f>
        <v>0</v>
      </c>
      <c r="AA597" s="24">
        <f>IF(AD597=15,J597,0)</f>
        <v>0</v>
      </c>
      <c r="AB597" s="24">
        <f>IF(AD597=21,J597,0)</f>
        <v>0</v>
      </c>
      <c r="AD597" s="39">
        <v>15</v>
      </c>
      <c r="AE597" s="39">
        <f>G597*1</f>
        <v>0</v>
      </c>
      <c r="AF597" s="39">
        <f>G597*(1-1)</f>
        <v>0</v>
      </c>
      <c r="AM597" s="39">
        <f>F597*AE597</f>
        <v>0</v>
      </c>
      <c r="AN597" s="39">
        <f>F597*AF597</f>
        <v>0</v>
      </c>
      <c r="AO597" s="40" t="s">
        <v>1566</v>
      </c>
      <c r="AP597" s="40" t="s">
        <v>1604</v>
      </c>
      <c r="AQ597" s="31" t="s">
        <v>1609</v>
      </c>
    </row>
    <row r="598" spans="1:37" ht="12.75">
      <c r="A598" s="4"/>
      <c r="B598" s="14" t="s">
        <v>590</v>
      </c>
      <c r="C598" s="14" t="s">
        <v>609</v>
      </c>
      <c r="D598" s="104" t="s">
        <v>982</v>
      </c>
      <c r="E598" s="105"/>
      <c r="F598" s="105"/>
      <c r="G598" s="105"/>
      <c r="H598" s="42">
        <f>SUM(H599:H601)</f>
        <v>0</v>
      </c>
      <c r="I598" s="42">
        <f>SUM(I599:I601)</f>
        <v>0</v>
      </c>
      <c r="J598" s="42">
        <f>H598+I598</f>
        <v>0</v>
      </c>
      <c r="K598" s="31"/>
      <c r="L598" s="42">
        <f>SUM(L599:L601)</f>
        <v>0.11105999999999998</v>
      </c>
      <c r="M598" s="31"/>
      <c r="P598" s="42">
        <f>IF(Q598="PR",J598,SUM(O599:O601))</f>
        <v>0</v>
      </c>
      <c r="Q598" s="31" t="s">
        <v>1530</v>
      </c>
      <c r="R598" s="42">
        <f>IF(Q598="HS",H598,0)</f>
        <v>0</v>
      </c>
      <c r="S598" s="42">
        <f>IF(Q598="HS",I598-P598,0)</f>
        <v>0</v>
      </c>
      <c r="T598" s="42">
        <f>IF(Q598="PS",H598,0)</f>
        <v>0</v>
      </c>
      <c r="U598" s="42">
        <f>IF(Q598="PS",I598-P598,0)</f>
        <v>0</v>
      </c>
      <c r="V598" s="42">
        <f>IF(Q598="MP",H598,0)</f>
        <v>0</v>
      </c>
      <c r="W598" s="42">
        <f>IF(Q598="MP",I598-P598,0)</f>
        <v>0</v>
      </c>
      <c r="X598" s="42">
        <f>IF(Q598="OM",H598,0)</f>
        <v>0</v>
      </c>
      <c r="Y598" s="31" t="s">
        <v>590</v>
      </c>
      <c r="AI598" s="42">
        <f>SUM(Z599:Z601)</f>
        <v>0</v>
      </c>
      <c r="AJ598" s="42">
        <f>SUM(AA599:AA601)</f>
        <v>0</v>
      </c>
      <c r="AK598" s="42">
        <f>SUM(AB599:AB601)</f>
        <v>0</v>
      </c>
    </row>
    <row r="599" spans="1:43" ht="12.75">
      <c r="A599" s="5" t="s">
        <v>360</v>
      </c>
      <c r="B599" s="5" t="s">
        <v>590</v>
      </c>
      <c r="C599" s="5" t="s">
        <v>759</v>
      </c>
      <c r="D599" s="5" t="s">
        <v>1180</v>
      </c>
      <c r="E599" s="5" t="s">
        <v>1494</v>
      </c>
      <c r="F599" s="22">
        <v>3</v>
      </c>
      <c r="G599" s="22">
        <v>0</v>
      </c>
      <c r="H599" s="22">
        <f>F599*AE599</f>
        <v>0</v>
      </c>
      <c r="I599" s="22">
        <f>J599-H599</f>
        <v>0</v>
      </c>
      <c r="J599" s="22">
        <f>F599*G599</f>
        <v>0</v>
      </c>
      <c r="K599" s="22">
        <v>0.00012</v>
      </c>
      <c r="L599" s="22">
        <f>F599*K599</f>
        <v>0.00036</v>
      </c>
      <c r="M599" s="35" t="s">
        <v>1523</v>
      </c>
      <c r="N599" s="35" t="s">
        <v>7</v>
      </c>
      <c r="O599" s="22">
        <f>IF(N599="5",I599,0)</f>
        <v>0</v>
      </c>
      <c r="Z599" s="22">
        <f>IF(AD599=0,J599,0)</f>
        <v>0</v>
      </c>
      <c r="AA599" s="22">
        <f>IF(AD599=15,J599,0)</f>
        <v>0</v>
      </c>
      <c r="AB599" s="22">
        <f>IF(AD599=21,J599,0)</f>
        <v>0</v>
      </c>
      <c r="AD599" s="39">
        <v>15</v>
      </c>
      <c r="AE599" s="39">
        <f>G599*0.0104718875502008</f>
        <v>0</v>
      </c>
      <c r="AF599" s="39">
        <f>G599*(1-0.0104718875502008)</f>
        <v>0</v>
      </c>
      <c r="AM599" s="39">
        <f>F599*AE599</f>
        <v>0</v>
      </c>
      <c r="AN599" s="39">
        <f>F599*AF599</f>
        <v>0</v>
      </c>
      <c r="AO599" s="40" t="s">
        <v>1543</v>
      </c>
      <c r="AP599" s="40" t="s">
        <v>1598</v>
      </c>
      <c r="AQ599" s="31" t="s">
        <v>1609</v>
      </c>
    </row>
    <row r="600" spans="1:43" ht="12.75">
      <c r="A600" s="6" t="s">
        <v>361</v>
      </c>
      <c r="B600" s="6" t="s">
        <v>590</v>
      </c>
      <c r="C600" s="6" t="s">
        <v>760</v>
      </c>
      <c r="D600" s="6" t="s">
        <v>1181</v>
      </c>
      <c r="E600" s="6" t="s">
        <v>1494</v>
      </c>
      <c r="F600" s="24">
        <v>3</v>
      </c>
      <c r="G600" s="24">
        <v>0</v>
      </c>
      <c r="H600" s="24">
        <f>F600*AE600</f>
        <v>0</v>
      </c>
      <c r="I600" s="24">
        <f>J600-H600</f>
        <v>0</v>
      </c>
      <c r="J600" s="24">
        <f>F600*G600</f>
        <v>0</v>
      </c>
      <c r="K600" s="24">
        <v>0.036</v>
      </c>
      <c r="L600" s="24">
        <f>F600*K600</f>
        <v>0.10799999999999998</v>
      </c>
      <c r="M600" s="36" t="s">
        <v>1523</v>
      </c>
      <c r="N600" s="36" t="s">
        <v>1526</v>
      </c>
      <c r="O600" s="24">
        <f>IF(N600="5",I600,0)</f>
        <v>0</v>
      </c>
      <c r="Z600" s="24">
        <f>IF(AD600=0,J600,0)</f>
        <v>0</v>
      </c>
      <c r="AA600" s="24">
        <f>IF(AD600=15,J600,0)</f>
        <v>0</v>
      </c>
      <c r="AB600" s="24">
        <f>IF(AD600=21,J600,0)</f>
        <v>0</v>
      </c>
      <c r="AD600" s="39">
        <v>15</v>
      </c>
      <c r="AE600" s="39">
        <f>G600*1</f>
        <v>0</v>
      </c>
      <c r="AF600" s="39">
        <f>G600*(1-1)</f>
        <v>0</v>
      </c>
      <c r="AM600" s="39">
        <f>F600*AE600</f>
        <v>0</v>
      </c>
      <c r="AN600" s="39">
        <f>F600*AF600</f>
        <v>0</v>
      </c>
      <c r="AO600" s="40" t="s">
        <v>1543</v>
      </c>
      <c r="AP600" s="40" t="s">
        <v>1598</v>
      </c>
      <c r="AQ600" s="31" t="s">
        <v>1609</v>
      </c>
    </row>
    <row r="601" spans="1:43" ht="12.75">
      <c r="A601" s="6" t="s">
        <v>362</v>
      </c>
      <c r="B601" s="6" t="s">
        <v>590</v>
      </c>
      <c r="C601" s="6" t="s">
        <v>758</v>
      </c>
      <c r="D601" s="6" t="s">
        <v>1179</v>
      </c>
      <c r="E601" s="6" t="s">
        <v>1494</v>
      </c>
      <c r="F601" s="24">
        <v>18</v>
      </c>
      <c r="G601" s="24">
        <v>0</v>
      </c>
      <c r="H601" s="24">
        <f>F601*AE601</f>
        <v>0</v>
      </c>
      <c r="I601" s="24">
        <f>J601-H601</f>
        <v>0</v>
      </c>
      <c r="J601" s="24">
        <f>F601*G601</f>
        <v>0</v>
      </c>
      <c r="K601" s="24">
        <v>0.00015</v>
      </c>
      <c r="L601" s="24">
        <f>F601*K601</f>
        <v>0.0026999999999999997</v>
      </c>
      <c r="M601" s="36" t="s">
        <v>1523</v>
      </c>
      <c r="N601" s="36" t="s">
        <v>1526</v>
      </c>
      <c r="O601" s="24">
        <f>IF(N601="5",I601,0)</f>
        <v>0</v>
      </c>
      <c r="Z601" s="24">
        <f>IF(AD601=0,J601,0)</f>
        <v>0</v>
      </c>
      <c r="AA601" s="24">
        <f>IF(AD601=15,J601,0)</f>
        <v>0</v>
      </c>
      <c r="AB601" s="24">
        <f>IF(AD601=21,J601,0)</f>
        <v>0</v>
      </c>
      <c r="AD601" s="39">
        <v>15</v>
      </c>
      <c r="AE601" s="39">
        <f>G601*1</f>
        <v>0</v>
      </c>
      <c r="AF601" s="39">
        <f>G601*(1-1)</f>
        <v>0</v>
      </c>
      <c r="AM601" s="39">
        <f>F601*AE601</f>
        <v>0</v>
      </c>
      <c r="AN601" s="39">
        <f>F601*AF601</f>
        <v>0</v>
      </c>
      <c r="AO601" s="40" t="s">
        <v>1543</v>
      </c>
      <c r="AP601" s="40" t="s">
        <v>1598</v>
      </c>
      <c r="AQ601" s="31" t="s">
        <v>1609</v>
      </c>
    </row>
    <row r="602" spans="1:37" ht="12.75">
      <c r="A602" s="4"/>
      <c r="B602" s="14" t="s">
        <v>590</v>
      </c>
      <c r="C602" s="14" t="s">
        <v>761</v>
      </c>
      <c r="D602" s="104" t="s">
        <v>1182</v>
      </c>
      <c r="E602" s="105"/>
      <c r="F602" s="105"/>
      <c r="G602" s="105"/>
      <c r="H602" s="42">
        <f>SUM(H603:H603)</f>
        <v>0</v>
      </c>
      <c r="I602" s="42">
        <f>SUM(I603:I603)</f>
        <v>0</v>
      </c>
      <c r="J602" s="42">
        <f>H602+I602</f>
        <v>0</v>
      </c>
      <c r="K602" s="31"/>
      <c r="L602" s="42">
        <f>SUM(L603:L603)</f>
        <v>0.02118</v>
      </c>
      <c r="M602" s="31"/>
      <c r="P602" s="42">
        <f>IF(Q602="PR",J602,SUM(O603:O603))</f>
        <v>0</v>
      </c>
      <c r="Q602" s="31" t="s">
        <v>1530</v>
      </c>
      <c r="R602" s="42">
        <f>IF(Q602="HS",H602,0)</f>
        <v>0</v>
      </c>
      <c r="S602" s="42">
        <f>IF(Q602="HS",I602-P602,0)</f>
        <v>0</v>
      </c>
      <c r="T602" s="42">
        <f>IF(Q602="PS",H602,0)</f>
        <v>0</v>
      </c>
      <c r="U602" s="42">
        <f>IF(Q602="PS",I602-P602,0)</f>
        <v>0</v>
      </c>
      <c r="V602" s="42">
        <f>IF(Q602="MP",H602,0)</f>
        <v>0</v>
      </c>
      <c r="W602" s="42">
        <f>IF(Q602="MP",I602-P602,0)</f>
        <v>0</v>
      </c>
      <c r="X602" s="42">
        <f>IF(Q602="OM",H602,0)</f>
        <v>0</v>
      </c>
      <c r="Y602" s="31" t="s">
        <v>590</v>
      </c>
      <c r="AI602" s="42">
        <f>SUM(Z603:Z603)</f>
        <v>0</v>
      </c>
      <c r="AJ602" s="42">
        <f>SUM(AA603:AA603)</f>
        <v>0</v>
      </c>
      <c r="AK602" s="42">
        <f>SUM(AB603:AB603)</f>
        <v>0</v>
      </c>
    </row>
    <row r="603" spans="1:43" ht="12.75">
      <c r="A603" s="5" t="s">
        <v>363</v>
      </c>
      <c r="B603" s="5" t="s">
        <v>590</v>
      </c>
      <c r="C603" s="5" t="s">
        <v>762</v>
      </c>
      <c r="D603" s="5" t="s">
        <v>1183</v>
      </c>
      <c r="E603" s="5" t="s">
        <v>1494</v>
      </c>
      <c r="F603" s="22">
        <v>3</v>
      </c>
      <c r="G603" s="22">
        <v>0</v>
      </c>
      <c r="H603" s="22">
        <f>F603*AE603</f>
        <v>0</v>
      </c>
      <c r="I603" s="22">
        <f>J603-H603</f>
        <v>0</v>
      </c>
      <c r="J603" s="22">
        <f>F603*G603</f>
        <v>0</v>
      </c>
      <c r="K603" s="22">
        <v>0.00706</v>
      </c>
      <c r="L603" s="22">
        <f>F603*K603</f>
        <v>0.02118</v>
      </c>
      <c r="M603" s="35" t="s">
        <v>1523</v>
      </c>
      <c r="N603" s="35" t="s">
        <v>7</v>
      </c>
      <c r="O603" s="22">
        <f>IF(N603="5",I603,0)</f>
        <v>0</v>
      </c>
      <c r="Z603" s="22">
        <f>IF(AD603=0,J603,0)</f>
        <v>0</v>
      </c>
      <c r="AA603" s="22">
        <f>IF(AD603=15,J603,0)</f>
        <v>0</v>
      </c>
      <c r="AB603" s="22">
        <f>IF(AD603=21,J603,0)</f>
        <v>0</v>
      </c>
      <c r="AD603" s="39">
        <v>15</v>
      </c>
      <c r="AE603" s="39">
        <f>G603*0</f>
        <v>0</v>
      </c>
      <c r="AF603" s="39">
        <f>G603*(1-0)</f>
        <v>0</v>
      </c>
      <c r="AM603" s="39">
        <f>F603*AE603</f>
        <v>0</v>
      </c>
      <c r="AN603" s="39">
        <f>F603*AF603</f>
        <v>0</v>
      </c>
      <c r="AO603" s="40" t="s">
        <v>1567</v>
      </c>
      <c r="AP603" s="40" t="s">
        <v>1598</v>
      </c>
      <c r="AQ603" s="31" t="s">
        <v>1609</v>
      </c>
    </row>
    <row r="604" spans="1:37" ht="12.75">
      <c r="A604" s="4"/>
      <c r="B604" s="14" t="s">
        <v>590</v>
      </c>
      <c r="C604" s="14" t="s">
        <v>763</v>
      </c>
      <c r="D604" s="104" t="s">
        <v>1185</v>
      </c>
      <c r="E604" s="105"/>
      <c r="F604" s="105"/>
      <c r="G604" s="105"/>
      <c r="H604" s="42">
        <f>SUM(H605:H608)</f>
        <v>0</v>
      </c>
      <c r="I604" s="42">
        <f>SUM(I605:I608)</f>
        <v>0</v>
      </c>
      <c r="J604" s="42">
        <f>H604+I604</f>
        <v>0</v>
      </c>
      <c r="K604" s="31"/>
      <c r="L604" s="42">
        <f>SUM(L605:L608)</f>
        <v>0.46298999999999996</v>
      </c>
      <c r="M604" s="31"/>
      <c r="P604" s="42">
        <f>IF(Q604="PR",J604,SUM(O605:O608))</f>
        <v>0</v>
      </c>
      <c r="Q604" s="31" t="s">
        <v>1530</v>
      </c>
      <c r="R604" s="42">
        <f>IF(Q604="HS",H604,0)</f>
        <v>0</v>
      </c>
      <c r="S604" s="42">
        <f>IF(Q604="HS",I604-P604,0)</f>
        <v>0</v>
      </c>
      <c r="T604" s="42">
        <f>IF(Q604="PS",H604,0)</f>
        <v>0</v>
      </c>
      <c r="U604" s="42">
        <f>IF(Q604="PS",I604-P604,0)</f>
        <v>0</v>
      </c>
      <c r="V604" s="42">
        <f>IF(Q604="MP",H604,0)</f>
        <v>0</v>
      </c>
      <c r="W604" s="42">
        <f>IF(Q604="MP",I604-P604,0)</f>
        <v>0</v>
      </c>
      <c r="X604" s="42">
        <f>IF(Q604="OM",H604,0)</f>
        <v>0</v>
      </c>
      <c r="Y604" s="31" t="s">
        <v>590</v>
      </c>
      <c r="AI604" s="42">
        <f>SUM(Z605:Z608)</f>
        <v>0</v>
      </c>
      <c r="AJ604" s="42">
        <f>SUM(AA605:AA608)</f>
        <v>0</v>
      </c>
      <c r="AK604" s="42">
        <f>SUM(AB605:AB608)</f>
        <v>0</v>
      </c>
    </row>
    <row r="605" spans="1:43" ht="12.75">
      <c r="A605" s="5" t="s">
        <v>364</v>
      </c>
      <c r="B605" s="5" t="s">
        <v>590</v>
      </c>
      <c r="C605" s="5" t="s">
        <v>764</v>
      </c>
      <c r="D605" s="5" t="s">
        <v>1186</v>
      </c>
      <c r="E605" s="5" t="s">
        <v>1493</v>
      </c>
      <c r="F605" s="22">
        <v>18</v>
      </c>
      <c r="G605" s="22">
        <v>0</v>
      </c>
      <c r="H605" s="22">
        <f>F605*AE605</f>
        <v>0</v>
      </c>
      <c r="I605" s="22">
        <f>J605-H605</f>
        <v>0</v>
      </c>
      <c r="J605" s="22">
        <f>F605*G605</f>
        <v>0</v>
      </c>
      <c r="K605" s="22">
        <v>0.02395</v>
      </c>
      <c r="L605" s="22">
        <f>F605*K605</f>
        <v>0.4311</v>
      </c>
      <c r="M605" s="35" t="s">
        <v>1523</v>
      </c>
      <c r="N605" s="35" t="s">
        <v>9</v>
      </c>
      <c r="O605" s="22">
        <f>IF(N605="5",I605,0)</f>
        <v>0</v>
      </c>
      <c r="Z605" s="22">
        <f>IF(AD605=0,J605,0)</f>
        <v>0</v>
      </c>
      <c r="AA605" s="22">
        <f>IF(AD605=15,J605,0)</f>
        <v>0</v>
      </c>
      <c r="AB605" s="22">
        <f>IF(AD605=21,J605,0)</f>
        <v>0</v>
      </c>
      <c r="AD605" s="39">
        <v>15</v>
      </c>
      <c r="AE605" s="39">
        <f>G605*0.0013986013986014</f>
        <v>0</v>
      </c>
      <c r="AF605" s="39">
        <f>G605*(1-0.0013986013986014)</f>
        <v>0</v>
      </c>
      <c r="AM605" s="39">
        <f>F605*AE605</f>
        <v>0</v>
      </c>
      <c r="AN605" s="39">
        <f>F605*AF605</f>
        <v>0</v>
      </c>
      <c r="AO605" s="40" t="s">
        <v>1568</v>
      </c>
      <c r="AP605" s="40" t="s">
        <v>1598</v>
      </c>
      <c r="AQ605" s="31" t="s">
        <v>1609</v>
      </c>
    </row>
    <row r="606" spans="4:6" ht="10.5" customHeight="1">
      <c r="D606" s="17" t="s">
        <v>1187</v>
      </c>
      <c r="F606" s="23">
        <v>18</v>
      </c>
    </row>
    <row r="607" spans="1:43" ht="12.75">
      <c r="A607" s="5" t="s">
        <v>365</v>
      </c>
      <c r="B607" s="5" t="s">
        <v>590</v>
      </c>
      <c r="C607" s="5" t="s">
        <v>765</v>
      </c>
      <c r="D607" s="5" t="s">
        <v>1188</v>
      </c>
      <c r="E607" s="5" t="s">
        <v>1494</v>
      </c>
      <c r="F607" s="22">
        <v>3</v>
      </c>
      <c r="G607" s="22">
        <v>0</v>
      </c>
      <c r="H607" s="22">
        <f>F607*AE607</f>
        <v>0</v>
      </c>
      <c r="I607" s="22">
        <f>J607-H607</f>
        <v>0</v>
      </c>
      <c r="J607" s="22">
        <f>F607*G607</f>
        <v>0</v>
      </c>
      <c r="K607" s="22">
        <v>0.0086</v>
      </c>
      <c r="L607" s="22">
        <f>F607*K607</f>
        <v>0.0258</v>
      </c>
      <c r="M607" s="35" t="s">
        <v>1523</v>
      </c>
      <c r="N607" s="35" t="s">
        <v>7</v>
      </c>
      <c r="O607" s="22">
        <f>IF(N607="5",I607,0)</f>
        <v>0</v>
      </c>
      <c r="Z607" s="22">
        <f>IF(AD607=0,J607,0)</f>
        <v>0</v>
      </c>
      <c r="AA607" s="22">
        <f>IF(AD607=15,J607,0)</f>
        <v>0</v>
      </c>
      <c r="AB607" s="22">
        <f>IF(AD607=21,J607,0)</f>
        <v>0</v>
      </c>
      <c r="AD607" s="39">
        <v>15</v>
      </c>
      <c r="AE607" s="39">
        <f>G607*0.866242952332137</f>
        <v>0</v>
      </c>
      <c r="AF607" s="39">
        <f>G607*(1-0.866242952332137)</f>
        <v>0</v>
      </c>
      <c r="AM607" s="39">
        <f>F607*AE607</f>
        <v>0</v>
      </c>
      <c r="AN607" s="39">
        <f>F607*AF607</f>
        <v>0</v>
      </c>
      <c r="AO607" s="40" t="s">
        <v>1568</v>
      </c>
      <c r="AP607" s="40" t="s">
        <v>1598</v>
      </c>
      <c r="AQ607" s="31" t="s">
        <v>1609</v>
      </c>
    </row>
    <row r="608" spans="1:43" ht="12.75">
      <c r="A608" s="5" t="s">
        <v>366</v>
      </c>
      <c r="B608" s="5" t="s">
        <v>590</v>
      </c>
      <c r="C608" s="5" t="s">
        <v>766</v>
      </c>
      <c r="D608" s="5" t="s">
        <v>1189</v>
      </c>
      <c r="E608" s="5" t="s">
        <v>1494</v>
      </c>
      <c r="F608" s="22">
        <v>3</v>
      </c>
      <c r="G608" s="22">
        <v>0</v>
      </c>
      <c r="H608" s="22">
        <f>F608*AE608</f>
        <v>0</v>
      </c>
      <c r="I608" s="22">
        <f>J608-H608</f>
        <v>0</v>
      </c>
      <c r="J608" s="22">
        <f>F608*G608</f>
        <v>0</v>
      </c>
      <c r="K608" s="22">
        <v>0.00203</v>
      </c>
      <c r="L608" s="22">
        <f>F608*K608</f>
        <v>0.00609</v>
      </c>
      <c r="M608" s="35" t="s">
        <v>1523</v>
      </c>
      <c r="N608" s="35" t="s">
        <v>7</v>
      </c>
      <c r="O608" s="22">
        <f>IF(N608="5",I608,0)</f>
        <v>0</v>
      </c>
      <c r="Z608" s="22">
        <f>IF(AD608=0,J608,0)</f>
        <v>0</v>
      </c>
      <c r="AA608" s="22">
        <f>IF(AD608=15,J608,0)</f>
        <v>0</v>
      </c>
      <c r="AB608" s="22">
        <f>IF(AD608=21,J608,0)</f>
        <v>0</v>
      </c>
      <c r="AD608" s="39">
        <v>15</v>
      </c>
      <c r="AE608" s="39">
        <f>G608*1</f>
        <v>0</v>
      </c>
      <c r="AF608" s="39">
        <f>G608*(1-1)</f>
        <v>0</v>
      </c>
      <c r="AM608" s="39">
        <f>F608*AE608</f>
        <v>0</v>
      </c>
      <c r="AN608" s="39">
        <f>F608*AF608</f>
        <v>0</v>
      </c>
      <c r="AO608" s="40" t="s">
        <v>1568</v>
      </c>
      <c r="AP608" s="40" t="s">
        <v>1598</v>
      </c>
      <c r="AQ608" s="31" t="s">
        <v>1609</v>
      </c>
    </row>
    <row r="609" spans="1:37" ht="12.75">
      <c r="A609" s="4"/>
      <c r="B609" s="14" t="s">
        <v>590</v>
      </c>
      <c r="C609" s="14" t="s">
        <v>767</v>
      </c>
      <c r="D609" s="104" t="s">
        <v>1190</v>
      </c>
      <c r="E609" s="105"/>
      <c r="F609" s="105"/>
      <c r="G609" s="105"/>
      <c r="H609" s="42">
        <f>SUM(H610:H611)</f>
        <v>0</v>
      </c>
      <c r="I609" s="42">
        <f>SUM(I610:I611)</f>
        <v>0</v>
      </c>
      <c r="J609" s="42">
        <f>H609+I609</f>
        <v>0</v>
      </c>
      <c r="K609" s="31"/>
      <c r="L609" s="42">
        <f>SUM(L610:L611)</f>
        <v>0.942464</v>
      </c>
      <c r="M609" s="31"/>
      <c r="P609" s="42">
        <f>IF(Q609="PR",J609,SUM(O610:O611))</f>
        <v>0</v>
      </c>
      <c r="Q609" s="31" t="s">
        <v>1530</v>
      </c>
      <c r="R609" s="42">
        <f>IF(Q609="HS",H609,0)</f>
        <v>0</v>
      </c>
      <c r="S609" s="42">
        <f>IF(Q609="HS",I609-P609,0)</f>
        <v>0</v>
      </c>
      <c r="T609" s="42">
        <f>IF(Q609="PS",H609,0)</f>
        <v>0</v>
      </c>
      <c r="U609" s="42">
        <f>IF(Q609="PS",I609-P609,0)</f>
        <v>0</v>
      </c>
      <c r="V609" s="42">
        <f>IF(Q609="MP",H609,0)</f>
        <v>0</v>
      </c>
      <c r="W609" s="42">
        <f>IF(Q609="MP",I609-P609,0)</f>
        <v>0</v>
      </c>
      <c r="X609" s="42">
        <f>IF(Q609="OM",H609,0)</f>
        <v>0</v>
      </c>
      <c r="Y609" s="31" t="s">
        <v>590</v>
      </c>
      <c r="AI609" s="42">
        <f>SUM(Z610:Z611)</f>
        <v>0</v>
      </c>
      <c r="AJ609" s="42">
        <f>SUM(AA610:AA611)</f>
        <v>0</v>
      </c>
      <c r="AK609" s="42">
        <f>SUM(AB610:AB611)</f>
        <v>0</v>
      </c>
    </row>
    <row r="610" spans="1:43" ht="12.75">
      <c r="A610" s="5" t="s">
        <v>367</v>
      </c>
      <c r="B610" s="5" t="s">
        <v>590</v>
      </c>
      <c r="C610" s="5" t="s">
        <v>768</v>
      </c>
      <c r="D610" s="5" t="s">
        <v>1191</v>
      </c>
      <c r="E610" s="5" t="s">
        <v>1493</v>
      </c>
      <c r="F610" s="22">
        <v>159.2</v>
      </c>
      <c r="G610" s="22">
        <v>0</v>
      </c>
      <c r="H610" s="22">
        <f>F610*AE610</f>
        <v>0</v>
      </c>
      <c r="I610" s="22">
        <f>J610-H610</f>
        <v>0</v>
      </c>
      <c r="J610" s="22">
        <f>F610*G610</f>
        <v>0</v>
      </c>
      <c r="K610" s="22">
        <v>0.00449</v>
      </c>
      <c r="L610" s="22">
        <f>F610*K610</f>
        <v>0.714808</v>
      </c>
      <c r="M610" s="35" t="s">
        <v>1523</v>
      </c>
      <c r="N610" s="35" t="s">
        <v>7</v>
      </c>
      <c r="O610" s="22">
        <f>IF(N610="5",I610,0)</f>
        <v>0</v>
      </c>
      <c r="Z610" s="22">
        <f>IF(AD610=0,J610,0)</f>
        <v>0</v>
      </c>
      <c r="AA610" s="22">
        <f>IF(AD610=15,J610,0)</f>
        <v>0</v>
      </c>
      <c r="AB610" s="22">
        <f>IF(AD610=21,J610,0)</f>
        <v>0</v>
      </c>
      <c r="AD610" s="39">
        <v>15</v>
      </c>
      <c r="AE610" s="39">
        <f>G610*0.568561690524881</f>
        <v>0</v>
      </c>
      <c r="AF610" s="39">
        <f>G610*(1-0.568561690524881)</f>
        <v>0</v>
      </c>
      <c r="AM610" s="39">
        <f>F610*AE610</f>
        <v>0</v>
      </c>
      <c r="AN610" s="39">
        <f>F610*AF610</f>
        <v>0</v>
      </c>
      <c r="AO610" s="40" t="s">
        <v>1569</v>
      </c>
      <c r="AP610" s="40" t="s">
        <v>1598</v>
      </c>
      <c r="AQ610" s="31" t="s">
        <v>1609</v>
      </c>
    </row>
    <row r="611" spans="1:43" ht="12.75">
      <c r="A611" s="6" t="s">
        <v>368</v>
      </c>
      <c r="B611" s="6" t="s">
        <v>590</v>
      </c>
      <c r="C611" s="6" t="s">
        <v>769</v>
      </c>
      <c r="D611" s="6" t="s">
        <v>1192</v>
      </c>
      <c r="E611" s="6" t="s">
        <v>1493</v>
      </c>
      <c r="F611" s="24">
        <v>175.12</v>
      </c>
      <c r="G611" s="24">
        <v>0</v>
      </c>
      <c r="H611" s="24">
        <f>F611*AE611</f>
        <v>0</v>
      </c>
      <c r="I611" s="24">
        <f>J611-H611</f>
        <v>0</v>
      </c>
      <c r="J611" s="24">
        <f>F611*G611</f>
        <v>0</v>
      </c>
      <c r="K611" s="24">
        <v>0.0013</v>
      </c>
      <c r="L611" s="24">
        <f>F611*K611</f>
        <v>0.227656</v>
      </c>
      <c r="M611" s="36" t="s">
        <v>1523</v>
      </c>
      <c r="N611" s="36" t="s">
        <v>1526</v>
      </c>
      <c r="O611" s="24">
        <f>IF(N611="5",I611,0)</f>
        <v>0</v>
      </c>
      <c r="Z611" s="24">
        <f>IF(AD611=0,J611,0)</f>
        <v>0</v>
      </c>
      <c r="AA611" s="24">
        <f>IF(AD611=15,J611,0)</f>
        <v>0</v>
      </c>
      <c r="AB611" s="24">
        <f>IF(AD611=21,J611,0)</f>
        <v>0</v>
      </c>
      <c r="AD611" s="39">
        <v>15</v>
      </c>
      <c r="AE611" s="39">
        <f>G611*1</f>
        <v>0</v>
      </c>
      <c r="AF611" s="39">
        <f>G611*(1-1)</f>
        <v>0</v>
      </c>
      <c r="AM611" s="39">
        <f>F611*AE611</f>
        <v>0</v>
      </c>
      <c r="AN611" s="39">
        <f>F611*AF611</f>
        <v>0</v>
      </c>
      <c r="AO611" s="40" t="s">
        <v>1569</v>
      </c>
      <c r="AP611" s="40" t="s">
        <v>1598</v>
      </c>
      <c r="AQ611" s="31" t="s">
        <v>1609</v>
      </c>
    </row>
    <row r="612" spans="4:6" ht="10.5" customHeight="1">
      <c r="D612" s="17" t="s">
        <v>1319</v>
      </c>
      <c r="F612" s="23">
        <v>175.12</v>
      </c>
    </row>
    <row r="613" spans="1:37" ht="12.75">
      <c r="A613" s="4"/>
      <c r="B613" s="14" t="s">
        <v>590</v>
      </c>
      <c r="C613" s="14" t="s">
        <v>622</v>
      </c>
      <c r="D613" s="104" t="s">
        <v>995</v>
      </c>
      <c r="E613" s="105"/>
      <c r="F613" s="105"/>
      <c r="G613" s="105"/>
      <c r="H613" s="42">
        <f>SUM(H614:H632)</f>
        <v>0</v>
      </c>
      <c r="I613" s="42">
        <f>SUM(I614:I632)</f>
        <v>0</v>
      </c>
      <c r="J613" s="42">
        <f>H613+I613</f>
        <v>0</v>
      </c>
      <c r="K613" s="31"/>
      <c r="L613" s="42">
        <f>SUM(L614:L632)</f>
        <v>1.3689719999999996</v>
      </c>
      <c r="M613" s="31"/>
      <c r="P613" s="42">
        <f>IF(Q613="PR",J613,SUM(O614:O632))</f>
        <v>0</v>
      </c>
      <c r="Q613" s="31" t="s">
        <v>1530</v>
      </c>
      <c r="R613" s="42">
        <f>IF(Q613="HS",H613,0)</f>
        <v>0</v>
      </c>
      <c r="S613" s="42">
        <f>IF(Q613="HS",I613-P613,0)</f>
        <v>0</v>
      </c>
      <c r="T613" s="42">
        <f>IF(Q613="PS",H613,0)</f>
        <v>0</v>
      </c>
      <c r="U613" s="42">
        <f>IF(Q613="PS",I613-P613,0)</f>
        <v>0</v>
      </c>
      <c r="V613" s="42">
        <f>IF(Q613="MP",H613,0)</f>
        <v>0</v>
      </c>
      <c r="W613" s="42">
        <f>IF(Q613="MP",I613-P613,0)</f>
        <v>0</v>
      </c>
      <c r="X613" s="42">
        <f>IF(Q613="OM",H613,0)</f>
        <v>0</v>
      </c>
      <c r="Y613" s="31" t="s">
        <v>590</v>
      </c>
      <c r="AI613" s="42">
        <f>SUM(Z614:Z632)</f>
        <v>0</v>
      </c>
      <c r="AJ613" s="42">
        <f>SUM(AA614:AA632)</f>
        <v>0</v>
      </c>
      <c r="AK613" s="42">
        <f>SUM(AB614:AB632)</f>
        <v>0</v>
      </c>
    </row>
    <row r="614" spans="1:43" ht="12.75">
      <c r="A614" s="5" t="s">
        <v>369</v>
      </c>
      <c r="B614" s="5" t="s">
        <v>590</v>
      </c>
      <c r="C614" s="5" t="s">
        <v>625</v>
      </c>
      <c r="D614" s="5" t="s">
        <v>998</v>
      </c>
      <c r="E614" s="5" t="s">
        <v>1494</v>
      </c>
      <c r="F614" s="22">
        <v>3</v>
      </c>
      <c r="G614" s="22">
        <v>0</v>
      </c>
      <c r="H614" s="22">
        <f aca="true" t="shared" si="146" ref="H614:H619">F614*AE614</f>
        <v>0</v>
      </c>
      <c r="I614" s="22">
        <f aca="true" t="shared" si="147" ref="I614:I619">J614-H614</f>
        <v>0</v>
      </c>
      <c r="J614" s="22">
        <f aca="true" t="shared" si="148" ref="J614:J619">F614*G614</f>
        <v>0</v>
      </c>
      <c r="K614" s="22">
        <v>0</v>
      </c>
      <c r="L614" s="22">
        <f aca="true" t="shared" si="149" ref="L614:L619">F614*K614</f>
        <v>0</v>
      </c>
      <c r="M614" s="35" t="s">
        <v>1523</v>
      </c>
      <c r="N614" s="35" t="s">
        <v>7</v>
      </c>
      <c r="O614" s="22">
        <f aca="true" t="shared" si="150" ref="O614:O619">IF(N614="5",I614,0)</f>
        <v>0</v>
      </c>
      <c r="Z614" s="22">
        <f aca="true" t="shared" si="151" ref="Z614:Z619">IF(AD614=0,J614,0)</f>
        <v>0</v>
      </c>
      <c r="AA614" s="22">
        <f aca="true" t="shared" si="152" ref="AA614:AA619">IF(AD614=15,J614,0)</f>
        <v>0</v>
      </c>
      <c r="AB614" s="22">
        <f aca="true" t="shared" si="153" ref="AB614:AB619">IF(AD614=21,J614,0)</f>
        <v>0</v>
      </c>
      <c r="AD614" s="39">
        <v>15</v>
      </c>
      <c r="AE614" s="39">
        <f>G614*0</f>
        <v>0</v>
      </c>
      <c r="AF614" s="39">
        <f>G614*(1-0)</f>
        <v>0</v>
      </c>
      <c r="AM614" s="39">
        <f aca="true" t="shared" si="154" ref="AM614:AM619">F614*AE614</f>
        <v>0</v>
      </c>
      <c r="AN614" s="39">
        <f aca="true" t="shared" si="155" ref="AN614:AN619">F614*AF614</f>
        <v>0</v>
      </c>
      <c r="AO614" s="40" t="s">
        <v>1544</v>
      </c>
      <c r="AP614" s="40" t="s">
        <v>1599</v>
      </c>
      <c r="AQ614" s="31" t="s">
        <v>1609</v>
      </c>
    </row>
    <row r="615" spans="1:43" ht="12.75">
      <c r="A615" s="5" t="s">
        <v>370</v>
      </c>
      <c r="B615" s="5" t="s">
        <v>590</v>
      </c>
      <c r="C615" s="5" t="s">
        <v>626</v>
      </c>
      <c r="D615" s="5" t="s">
        <v>999</v>
      </c>
      <c r="E615" s="5" t="s">
        <v>1494</v>
      </c>
      <c r="F615" s="22">
        <v>3</v>
      </c>
      <c r="G615" s="22">
        <v>0</v>
      </c>
      <c r="H615" s="22">
        <f t="shared" si="146"/>
        <v>0</v>
      </c>
      <c r="I615" s="22">
        <f t="shared" si="147"/>
        <v>0</v>
      </c>
      <c r="J615" s="22">
        <f t="shared" si="148"/>
        <v>0</v>
      </c>
      <c r="K615" s="22">
        <v>1E-05</v>
      </c>
      <c r="L615" s="22">
        <f t="shared" si="149"/>
        <v>3.0000000000000004E-05</v>
      </c>
      <c r="M615" s="35" t="s">
        <v>1523</v>
      </c>
      <c r="N615" s="35" t="s">
        <v>7</v>
      </c>
      <c r="O615" s="22">
        <f t="shared" si="150"/>
        <v>0</v>
      </c>
      <c r="Z615" s="22">
        <f t="shared" si="151"/>
        <v>0</v>
      </c>
      <c r="AA615" s="22">
        <f t="shared" si="152"/>
        <v>0</v>
      </c>
      <c r="AB615" s="22">
        <f t="shared" si="153"/>
        <v>0</v>
      </c>
      <c r="AD615" s="39">
        <v>15</v>
      </c>
      <c r="AE615" s="39">
        <f>G615*0.0277644230769231</f>
        <v>0</v>
      </c>
      <c r="AF615" s="39">
        <f>G615*(1-0.0277644230769231)</f>
        <v>0</v>
      </c>
      <c r="AM615" s="39">
        <f t="shared" si="154"/>
        <v>0</v>
      </c>
      <c r="AN615" s="39">
        <f t="shared" si="155"/>
        <v>0</v>
      </c>
      <c r="AO615" s="40" t="s">
        <v>1544</v>
      </c>
      <c r="AP615" s="40" t="s">
        <v>1599</v>
      </c>
      <c r="AQ615" s="31" t="s">
        <v>1609</v>
      </c>
    </row>
    <row r="616" spans="1:43" ht="12.75">
      <c r="A616" s="5" t="s">
        <v>371</v>
      </c>
      <c r="B616" s="5" t="s">
        <v>590</v>
      </c>
      <c r="C616" s="5" t="s">
        <v>775</v>
      </c>
      <c r="D616" s="5" t="s">
        <v>1200</v>
      </c>
      <c r="E616" s="5" t="s">
        <v>1494</v>
      </c>
      <c r="F616" s="22">
        <v>10</v>
      </c>
      <c r="G616" s="22">
        <v>0</v>
      </c>
      <c r="H616" s="22">
        <f t="shared" si="146"/>
        <v>0</v>
      </c>
      <c r="I616" s="22">
        <f t="shared" si="147"/>
        <v>0</v>
      </c>
      <c r="J616" s="22">
        <f t="shared" si="148"/>
        <v>0</v>
      </c>
      <c r="K616" s="22">
        <v>0.00162</v>
      </c>
      <c r="L616" s="22">
        <f t="shared" si="149"/>
        <v>0.0162</v>
      </c>
      <c r="M616" s="35" t="s">
        <v>1523</v>
      </c>
      <c r="N616" s="35" t="s">
        <v>9</v>
      </c>
      <c r="O616" s="22">
        <f t="shared" si="150"/>
        <v>0</v>
      </c>
      <c r="Z616" s="22">
        <f t="shared" si="151"/>
        <v>0</v>
      </c>
      <c r="AA616" s="22">
        <f t="shared" si="152"/>
        <v>0</v>
      </c>
      <c r="AB616" s="22">
        <f t="shared" si="153"/>
        <v>0</v>
      </c>
      <c r="AD616" s="39">
        <v>15</v>
      </c>
      <c r="AE616" s="39">
        <f>G616*0.0866294925912415</f>
        <v>0</v>
      </c>
      <c r="AF616" s="39">
        <f>G616*(1-0.0866294925912415)</f>
        <v>0</v>
      </c>
      <c r="AM616" s="39">
        <f t="shared" si="154"/>
        <v>0</v>
      </c>
      <c r="AN616" s="39">
        <f t="shared" si="155"/>
        <v>0</v>
      </c>
      <c r="AO616" s="40" t="s">
        <v>1544</v>
      </c>
      <c r="AP616" s="40" t="s">
        <v>1599</v>
      </c>
      <c r="AQ616" s="31" t="s">
        <v>1609</v>
      </c>
    </row>
    <row r="617" spans="1:43" ht="12.75">
      <c r="A617" s="5" t="s">
        <v>372</v>
      </c>
      <c r="B617" s="5" t="s">
        <v>590</v>
      </c>
      <c r="C617" s="5" t="s">
        <v>776</v>
      </c>
      <c r="D617" s="5" t="s">
        <v>1201</v>
      </c>
      <c r="E617" s="5" t="s">
        <v>1494</v>
      </c>
      <c r="F617" s="22">
        <v>11</v>
      </c>
      <c r="G617" s="22">
        <v>0</v>
      </c>
      <c r="H617" s="22">
        <f t="shared" si="146"/>
        <v>0</v>
      </c>
      <c r="I617" s="22">
        <f t="shared" si="147"/>
        <v>0</v>
      </c>
      <c r="J617" s="22">
        <f t="shared" si="148"/>
        <v>0</v>
      </c>
      <c r="K617" s="22">
        <v>0.00202</v>
      </c>
      <c r="L617" s="22">
        <f t="shared" si="149"/>
        <v>0.02222</v>
      </c>
      <c r="M617" s="35" t="s">
        <v>1523</v>
      </c>
      <c r="N617" s="35" t="s">
        <v>9</v>
      </c>
      <c r="O617" s="22">
        <f t="shared" si="150"/>
        <v>0</v>
      </c>
      <c r="Z617" s="22">
        <f t="shared" si="151"/>
        <v>0</v>
      </c>
      <c r="AA617" s="22">
        <f t="shared" si="152"/>
        <v>0</v>
      </c>
      <c r="AB617" s="22">
        <f t="shared" si="153"/>
        <v>0</v>
      </c>
      <c r="AD617" s="39">
        <v>15</v>
      </c>
      <c r="AE617" s="39">
        <f>G617*0.0979411209770099</f>
        <v>0</v>
      </c>
      <c r="AF617" s="39">
        <f>G617*(1-0.0979411209770099)</f>
        <v>0</v>
      </c>
      <c r="AM617" s="39">
        <f t="shared" si="154"/>
        <v>0</v>
      </c>
      <c r="AN617" s="39">
        <f t="shared" si="155"/>
        <v>0</v>
      </c>
      <c r="AO617" s="40" t="s">
        <v>1544</v>
      </c>
      <c r="AP617" s="40" t="s">
        <v>1599</v>
      </c>
      <c r="AQ617" s="31" t="s">
        <v>1609</v>
      </c>
    </row>
    <row r="618" spans="1:43" ht="12.75">
      <c r="A618" s="5" t="s">
        <v>373</v>
      </c>
      <c r="B618" s="5" t="s">
        <v>590</v>
      </c>
      <c r="C618" s="5" t="s">
        <v>627</v>
      </c>
      <c r="D618" s="5" t="s">
        <v>1000</v>
      </c>
      <c r="E618" s="5" t="s">
        <v>1494</v>
      </c>
      <c r="F618" s="22">
        <v>21</v>
      </c>
      <c r="G618" s="22">
        <v>0</v>
      </c>
      <c r="H618" s="22">
        <f t="shared" si="146"/>
        <v>0</v>
      </c>
      <c r="I618" s="22">
        <f t="shared" si="147"/>
        <v>0</v>
      </c>
      <c r="J618" s="22">
        <f t="shared" si="148"/>
        <v>0</v>
      </c>
      <c r="K618" s="22">
        <v>0</v>
      </c>
      <c r="L618" s="22">
        <f t="shared" si="149"/>
        <v>0</v>
      </c>
      <c r="M618" s="35" t="s">
        <v>1523</v>
      </c>
      <c r="N618" s="35" t="s">
        <v>7</v>
      </c>
      <c r="O618" s="22">
        <f t="shared" si="150"/>
        <v>0</v>
      </c>
      <c r="Z618" s="22">
        <f t="shared" si="151"/>
        <v>0</v>
      </c>
      <c r="AA618" s="22">
        <f t="shared" si="152"/>
        <v>0</v>
      </c>
      <c r="AB618" s="22">
        <f t="shared" si="153"/>
        <v>0</v>
      </c>
      <c r="AD618" s="39">
        <v>15</v>
      </c>
      <c r="AE618" s="39">
        <f>G618*0</f>
        <v>0</v>
      </c>
      <c r="AF618" s="39">
        <f>G618*(1-0)</f>
        <v>0</v>
      </c>
      <c r="AM618" s="39">
        <f t="shared" si="154"/>
        <v>0</v>
      </c>
      <c r="AN618" s="39">
        <f t="shared" si="155"/>
        <v>0</v>
      </c>
      <c r="AO618" s="40" t="s">
        <v>1544</v>
      </c>
      <c r="AP618" s="40" t="s">
        <v>1599</v>
      </c>
      <c r="AQ618" s="31" t="s">
        <v>1609</v>
      </c>
    </row>
    <row r="619" spans="1:43" ht="12.75">
      <c r="A619" s="5" t="s">
        <v>374</v>
      </c>
      <c r="B619" s="5" t="s">
        <v>590</v>
      </c>
      <c r="C619" s="5" t="s">
        <v>779</v>
      </c>
      <c r="D619" s="5" t="s">
        <v>1204</v>
      </c>
      <c r="E619" s="5" t="s">
        <v>1494</v>
      </c>
      <c r="F619" s="22">
        <v>3</v>
      </c>
      <c r="G619" s="22">
        <v>0</v>
      </c>
      <c r="H619" s="22">
        <f t="shared" si="146"/>
        <v>0</v>
      </c>
      <c r="I619" s="22">
        <f t="shared" si="147"/>
        <v>0</v>
      </c>
      <c r="J619" s="22">
        <f t="shared" si="148"/>
        <v>0</v>
      </c>
      <c r="K619" s="22">
        <v>0</v>
      </c>
      <c r="L619" s="22">
        <f t="shared" si="149"/>
        <v>0</v>
      </c>
      <c r="M619" s="35" t="s">
        <v>1523</v>
      </c>
      <c r="N619" s="35" t="s">
        <v>7</v>
      </c>
      <c r="O619" s="22">
        <f t="shared" si="150"/>
        <v>0</v>
      </c>
      <c r="Z619" s="22">
        <f t="shared" si="151"/>
        <v>0</v>
      </c>
      <c r="AA619" s="22">
        <f t="shared" si="152"/>
        <v>0</v>
      </c>
      <c r="AB619" s="22">
        <f t="shared" si="153"/>
        <v>0</v>
      </c>
      <c r="AD619" s="39">
        <v>15</v>
      </c>
      <c r="AE619" s="39">
        <f>G619*0.674124009185866</f>
        <v>0</v>
      </c>
      <c r="AF619" s="39">
        <f>G619*(1-0.674124009185866)</f>
        <v>0</v>
      </c>
      <c r="AM619" s="39">
        <f t="shared" si="154"/>
        <v>0</v>
      </c>
      <c r="AN619" s="39">
        <f t="shared" si="155"/>
        <v>0</v>
      </c>
      <c r="AO619" s="40" t="s">
        <v>1544</v>
      </c>
      <c r="AP619" s="40" t="s">
        <v>1599</v>
      </c>
      <c r="AQ619" s="31" t="s">
        <v>1609</v>
      </c>
    </row>
    <row r="620" ht="12.75">
      <c r="D620" s="18" t="s">
        <v>1205</v>
      </c>
    </row>
    <row r="621" spans="1:43" ht="12.75">
      <c r="A621" s="5" t="s">
        <v>375</v>
      </c>
      <c r="B621" s="5" t="s">
        <v>590</v>
      </c>
      <c r="C621" s="5" t="s">
        <v>780</v>
      </c>
      <c r="D621" s="5" t="s">
        <v>1206</v>
      </c>
      <c r="E621" s="5" t="s">
        <v>1494</v>
      </c>
      <c r="F621" s="22">
        <v>3</v>
      </c>
      <c r="G621" s="22">
        <v>0</v>
      </c>
      <c r="H621" s="22">
        <f>F621*AE621</f>
        <v>0</v>
      </c>
      <c r="I621" s="22">
        <f>J621-H621</f>
        <v>0</v>
      </c>
      <c r="J621" s="22">
        <f>F621*G621</f>
        <v>0</v>
      </c>
      <c r="K621" s="22">
        <v>0.174</v>
      </c>
      <c r="L621" s="22">
        <f>F621*K621</f>
        <v>0.522</v>
      </c>
      <c r="M621" s="35" t="s">
        <v>1523</v>
      </c>
      <c r="N621" s="35" t="s">
        <v>7</v>
      </c>
      <c r="O621" s="22">
        <f>IF(N621="5",I621,0)</f>
        <v>0</v>
      </c>
      <c r="Z621" s="22">
        <f>IF(AD621=0,J621,0)</f>
        <v>0</v>
      </c>
      <c r="AA621" s="22">
        <f>IF(AD621=15,J621,0)</f>
        <v>0</v>
      </c>
      <c r="AB621" s="22">
        <f>IF(AD621=21,J621,0)</f>
        <v>0</v>
      </c>
      <c r="AD621" s="39">
        <v>15</v>
      </c>
      <c r="AE621" s="39">
        <f>G621*0</f>
        <v>0</v>
      </c>
      <c r="AF621" s="39">
        <f>G621*(1-0)</f>
        <v>0</v>
      </c>
      <c r="AM621" s="39">
        <f>F621*AE621</f>
        <v>0</v>
      </c>
      <c r="AN621" s="39">
        <f>F621*AF621</f>
        <v>0</v>
      </c>
      <c r="AO621" s="40" t="s">
        <v>1544</v>
      </c>
      <c r="AP621" s="40" t="s">
        <v>1599</v>
      </c>
      <c r="AQ621" s="31" t="s">
        <v>1609</v>
      </c>
    </row>
    <row r="622" spans="1:43" ht="12.75">
      <c r="A622" s="5" t="s">
        <v>376</v>
      </c>
      <c r="B622" s="5" t="s">
        <v>590</v>
      </c>
      <c r="C622" s="5" t="s">
        <v>781</v>
      </c>
      <c r="D622" s="5" t="s">
        <v>1207</v>
      </c>
      <c r="E622" s="5" t="s">
        <v>1494</v>
      </c>
      <c r="F622" s="22">
        <v>10</v>
      </c>
      <c r="G622" s="22">
        <v>0</v>
      </c>
      <c r="H622" s="22">
        <f>F622*AE622</f>
        <v>0</v>
      </c>
      <c r="I622" s="22">
        <f>J622-H622</f>
        <v>0</v>
      </c>
      <c r="J622" s="22">
        <f>F622*G622</f>
        <v>0</v>
      </c>
      <c r="K622" s="22">
        <v>2E-05</v>
      </c>
      <c r="L622" s="22">
        <f>F622*K622</f>
        <v>0.0002</v>
      </c>
      <c r="M622" s="35" t="s">
        <v>1523</v>
      </c>
      <c r="N622" s="35" t="s">
        <v>7</v>
      </c>
      <c r="O622" s="22">
        <f>IF(N622="5",I622,0)</f>
        <v>0</v>
      </c>
      <c r="Z622" s="22">
        <f>IF(AD622=0,J622,0)</f>
        <v>0</v>
      </c>
      <c r="AA622" s="22">
        <f>IF(AD622=15,J622,0)</f>
        <v>0</v>
      </c>
      <c r="AB622" s="22">
        <f>IF(AD622=21,J622,0)</f>
        <v>0</v>
      </c>
      <c r="AD622" s="39">
        <v>15</v>
      </c>
      <c r="AE622" s="39">
        <f>G622*0.0210983981693364</f>
        <v>0</v>
      </c>
      <c r="AF622" s="39">
        <f>G622*(1-0.0210983981693364)</f>
        <v>0</v>
      </c>
      <c r="AM622" s="39">
        <f>F622*AE622</f>
        <v>0</v>
      </c>
      <c r="AN622" s="39">
        <f>F622*AF622</f>
        <v>0</v>
      </c>
      <c r="AO622" s="40" t="s">
        <v>1544</v>
      </c>
      <c r="AP622" s="40" t="s">
        <v>1599</v>
      </c>
      <c r="AQ622" s="31" t="s">
        <v>1609</v>
      </c>
    </row>
    <row r="623" spans="1:43" ht="12.75">
      <c r="A623" s="5" t="s">
        <v>377</v>
      </c>
      <c r="B623" s="5" t="s">
        <v>590</v>
      </c>
      <c r="C623" s="5" t="s">
        <v>782</v>
      </c>
      <c r="D623" s="5" t="s">
        <v>1208</v>
      </c>
      <c r="E623" s="5" t="s">
        <v>1495</v>
      </c>
      <c r="F623" s="22">
        <v>23.1</v>
      </c>
      <c r="G623" s="22">
        <v>0</v>
      </c>
      <c r="H623" s="22">
        <f>F623*AE623</f>
        <v>0</v>
      </c>
      <c r="I623" s="22">
        <f>J623-H623</f>
        <v>0</v>
      </c>
      <c r="J623" s="22">
        <f>F623*G623</f>
        <v>0</v>
      </c>
      <c r="K623" s="22">
        <v>0.00372</v>
      </c>
      <c r="L623" s="22">
        <f>F623*K623</f>
        <v>0.08593200000000001</v>
      </c>
      <c r="M623" s="35" t="s">
        <v>1523</v>
      </c>
      <c r="N623" s="35" t="s">
        <v>9</v>
      </c>
      <c r="O623" s="22">
        <f>IF(N623="5",I623,0)</f>
        <v>0</v>
      </c>
      <c r="Z623" s="22">
        <f>IF(AD623=0,J623,0)</f>
        <v>0</v>
      </c>
      <c r="AA623" s="22">
        <f>IF(AD623=15,J623,0)</f>
        <v>0</v>
      </c>
      <c r="AB623" s="22">
        <f>IF(AD623=21,J623,0)</f>
        <v>0</v>
      </c>
      <c r="AD623" s="39">
        <v>15</v>
      </c>
      <c r="AE623" s="39">
        <f>G623*0.647173658409614</f>
        <v>0</v>
      </c>
      <c r="AF623" s="39">
        <f>G623*(1-0.647173658409614)</f>
        <v>0</v>
      </c>
      <c r="AM623" s="39">
        <f>F623*AE623</f>
        <v>0</v>
      </c>
      <c r="AN623" s="39">
        <f>F623*AF623</f>
        <v>0</v>
      </c>
      <c r="AO623" s="40" t="s">
        <v>1544</v>
      </c>
      <c r="AP623" s="40" t="s">
        <v>1599</v>
      </c>
      <c r="AQ623" s="31" t="s">
        <v>1609</v>
      </c>
    </row>
    <row r="624" ht="12.75">
      <c r="D624" s="18" t="s">
        <v>1209</v>
      </c>
    </row>
    <row r="625" spans="4:6" ht="10.5" customHeight="1">
      <c r="D625" s="17" t="s">
        <v>1210</v>
      </c>
      <c r="F625" s="23">
        <v>23.1</v>
      </c>
    </row>
    <row r="626" spans="1:43" ht="12.75">
      <c r="A626" s="6" t="s">
        <v>378</v>
      </c>
      <c r="B626" s="6" t="s">
        <v>590</v>
      </c>
      <c r="C626" s="6" t="s">
        <v>770</v>
      </c>
      <c r="D626" s="6" t="s">
        <v>1320</v>
      </c>
      <c r="E626" s="6" t="s">
        <v>1494</v>
      </c>
      <c r="F626" s="24">
        <v>10</v>
      </c>
      <c r="G626" s="24">
        <v>0</v>
      </c>
      <c r="H626" s="24">
        <f aca="true" t="shared" si="156" ref="H626:H632">F626*AE626</f>
        <v>0</v>
      </c>
      <c r="I626" s="24">
        <f aca="true" t="shared" si="157" ref="I626:I632">J626-H626</f>
        <v>0</v>
      </c>
      <c r="J626" s="24">
        <f aca="true" t="shared" si="158" ref="J626:J632">F626*G626</f>
        <v>0</v>
      </c>
      <c r="K626" s="24">
        <v>0.0138</v>
      </c>
      <c r="L626" s="24">
        <f aca="true" t="shared" si="159" ref="L626:L632">F626*K626</f>
        <v>0.138</v>
      </c>
      <c r="M626" s="36" t="s">
        <v>1523</v>
      </c>
      <c r="N626" s="36" t="s">
        <v>1526</v>
      </c>
      <c r="O626" s="24">
        <f aca="true" t="shared" si="160" ref="O626:O632">IF(N626="5",I626,0)</f>
        <v>0</v>
      </c>
      <c r="Z626" s="24">
        <f aca="true" t="shared" si="161" ref="Z626:Z632">IF(AD626=0,J626,0)</f>
        <v>0</v>
      </c>
      <c r="AA626" s="24">
        <f aca="true" t="shared" si="162" ref="AA626:AA632">IF(AD626=15,J626,0)</f>
        <v>0</v>
      </c>
      <c r="AB626" s="24">
        <f aca="true" t="shared" si="163" ref="AB626:AB632">IF(AD626=21,J626,0)</f>
        <v>0</v>
      </c>
      <c r="AD626" s="39">
        <v>15</v>
      </c>
      <c r="AE626" s="39">
        <f aca="true" t="shared" si="164" ref="AE626:AE632">G626*1</f>
        <v>0</v>
      </c>
      <c r="AF626" s="39">
        <f aca="true" t="shared" si="165" ref="AF626:AF632">G626*(1-1)</f>
        <v>0</v>
      </c>
      <c r="AM626" s="39">
        <f aca="true" t="shared" si="166" ref="AM626:AM632">F626*AE626</f>
        <v>0</v>
      </c>
      <c r="AN626" s="39">
        <f aca="true" t="shared" si="167" ref="AN626:AN632">F626*AF626</f>
        <v>0</v>
      </c>
      <c r="AO626" s="40" t="s">
        <v>1544</v>
      </c>
      <c r="AP626" s="40" t="s">
        <v>1599</v>
      </c>
      <c r="AQ626" s="31" t="s">
        <v>1609</v>
      </c>
    </row>
    <row r="627" spans="1:43" ht="12.75">
      <c r="A627" s="6" t="s">
        <v>379</v>
      </c>
      <c r="B627" s="6" t="s">
        <v>590</v>
      </c>
      <c r="C627" s="6" t="s">
        <v>771</v>
      </c>
      <c r="D627" s="6" t="s">
        <v>1196</v>
      </c>
      <c r="E627" s="6" t="s">
        <v>1494</v>
      </c>
      <c r="F627" s="24">
        <v>11</v>
      </c>
      <c r="G627" s="24">
        <v>0</v>
      </c>
      <c r="H627" s="24">
        <f t="shared" si="156"/>
        <v>0</v>
      </c>
      <c r="I627" s="24">
        <f t="shared" si="157"/>
        <v>0</v>
      </c>
      <c r="J627" s="24">
        <f t="shared" si="158"/>
        <v>0</v>
      </c>
      <c r="K627" s="24">
        <v>0.0205</v>
      </c>
      <c r="L627" s="24">
        <f t="shared" si="159"/>
        <v>0.2255</v>
      </c>
      <c r="M627" s="36" t="s">
        <v>1523</v>
      </c>
      <c r="N627" s="36" t="s">
        <v>1526</v>
      </c>
      <c r="O627" s="24">
        <f t="shared" si="160"/>
        <v>0</v>
      </c>
      <c r="Z627" s="24">
        <f t="shared" si="161"/>
        <v>0</v>
      </c>
      <c r="AA627" s="24">
        <f t="shared" si="162"/>
        <v>0</v>
      </c>
      <c r="AB627" s="24">
        <f t="shared" si="163"/>
        <v>0</v>
      </c>
      <c r="AD627" s="39">
        <v>15</v>
      </c>
      <c r="AE627" s="39">
        <f t="shared" si="164"/>
        <v>0</v>
      </c>
      <c r="AF627" s="39">
        <f t="shared" si="165"/>
        <v>0</v>
      </c>
      <c r="AM627" s="39">
        <f t="shared" si="166"/>
        <v>0</v>
      </c>
      <c r="AN627" s="39">
        <f t="shared" si="167"/>
        <v>0</v>
      </c>
      <c r="AO627" s="40" t="s">
        <v>1544</v>
      </c>
      <c r="AP627" s="40" t="s">
        <v>1599</v>
      </c>
      <c r="AQ627" s="31" t="s">
        <v>1609</v>
      </c>
    </row>
    <row r="628" spans="1:43" ht="12.75">
      <c r="A628" s="6" t="s">
        <v>380</v>
      </c>
      <c r="B628" s="6" t="s">
        <v>590</v>
      </c>
      <c r="C628" s="6" t="s">
        <v>772</v>
      </c>
      <c r="D628" s="6" t="s">
        <v>1197</v>
      </c>
      <c r="E628" s="6" t="s">
        <v>1494</v>
      </c>
      <c r="F628" s="24">
        <v>10</v>
      </c>
      <c r="G628" s="24">
        <v>0</v>
      </c>
      <c r="H628" s="24">
        <f t="shared" si="156"/>
        <v>0</v>
      </c>
      <c r="I628" s="24">
        <f t="shared" si="157"/>
        <v>0</v>
      </c>
      <c r="J628" s="24">
        <f t="shared" si="158"/>
        <v>0</v>
      </c>
      <c r="K628" s="24">
        <v>0.0008</v>
      </c>
      <c r="L628" s="24">
        <f t="shared" si="159"/>
        <v>0.008</v>
      </c>
      <c r="M628" s="36" t="s">
        <v>1523</v>
      </c>
      <c r="N628" s="36" t="s">
        <v>1526</v>
      </c>
      <c r="O628" s="24">
        <f t="shared" si="160"/>
        <v>0</v>
      </c>
      <c r="Z628" s="24">
        <f t="shared" si="161"/>
        <v>0</v>
      </c>
      <c r="AA628" s="24">
        <f t="shared" si="162"/>
        <v>0</v>
      </c>
      <c r="AB628" s="24">
        <f t="shared" si="163"/>
        <v>0</v>
      </c>
      <c r="AD628" s="39">
        <v>15</v>
      </c>
      <c r="AE628" s="39">
        <f t="shared" si="164"/>
        <v>0</v>
      </c>
      <c r="AF628" s="39">
        <f t="shared" si="165"/>
        <v>0</v>
      </c>
      <c r="AM628" s="39">
        <f t="shared" si="166"/>
        <v>0</v>
      </c>
      <c r="AN628" s="39">
        <f t="shared" si="167"/>
        <v>0</v>
      </c>
      <c r="AO628" s="40" t="s">
        <v>1544</v>
      </c>
      <c r="AP628" s="40" t="s">
        <v>1599</v>
      </c>
      <c r="AQ628" s="31" t="s">
        <v>1609</v>
      </c>
    </row>
    <row r="629" spans="1:43" ht="12.75">
      <c r="A629" s="6" t="s">
        <v>381</v>
      </c>
      <c r="B629" s="6" t="s">
        <v>590</v>
      </c>
      <c r="C629" s="6" t="s">
        <v>773</v>
      </c>
      <c r="D629" s="6" t="s">
        <v>1198</v>
      </c>
      <c r="E629" s="6" t="s">
        <v>1494</v>
      </c>
      <c r="F629" s="24">
        <v>11</v>
      </c>
      <c r="G629" s="24">
        <v>0</v>
      </c>
      <c r="H629" s="24">
        <f t="shared" si="156"/>
        <v>0</v>
      </c>
      <c r="I629" s="24">
        <f t="shared" si="157"/>
        <v>0</v>
      </c>
      <c r="J629" s="24">
        <f t="shared" si="158"/>
        <v>0</v>
      </c>
      <c r="K629" s="24">
        <v>0.0008</v>
      </c>
      <c r="L629" s="24">
        <f t="shared" si="159"/>
        <v>0.0088</v>
      </c>
      <c r="M629" s="36" t="s">
        <v>1523</v>
      </c>
      <c r="N629" s="36" t="s">
        <v>1526</v>
      </c>
      <c r="O629" s="24">
        <f t="shared" si="160"/>
        <v>0</v>
      </c>
      <c r="Z629" s="24">
        <f t="shared" si="161"/>
        <v>0</v>
      </c>
      <c r="AA629" s="24">
        <f t="shared" si="162"/>
        <v>0</v>
      </c>
      <c r="AB629" s="24">
        <f t="shared" si="163"/>
        <v>0</v>
      </c>
      <c r="AD629" s="39">
        <v>15</v>
      </c>
      <c r="AE629" s="39">
        <f t="shared" si="164"/>
        <v>0</v>
      </c>
      <c r="AF629" s="39">
        <f t="shared" si="165"/>
        <v>0</v>
      </c>
      <c r="AM629" s="39">
        <f t="shared" si="166"/>
        <v>0</v>
      </c>
      <c r="AN629" s="39">
        <f t="shared" si="167"/>
        <v>0</v>
      </c>
      <c r="AO629" s="40" t="s">
        <v>1544</v>
      </c>
      <c r="AP629" s="40" t="s">
        <v>1599</v>
      </c>
      <c r="AQ629" s="31" t="s">
        <v>1609</v>
      </c>
    </row>
    <row r="630" spans="1:43" ht="12.75">
      <c r="A630" s="6" t="s">
        <v>382</v>
      </c>
      <c r="B630" s="6" t="s">
        <v>590</v>
      </c>
      <c r="C630" s="6" t="s">
        <v>774</v>
      </c>
      <c r="D630" s="6" t="s">
        <v>1199</v>
      </c>
      <c r="E630" s="6" t="s">
        <v>1494</v>
      </c>
      <c r="F630" s="24">
        <v>3</v>
      </c>
      <c r="G630" s="24">
        <v>0</v>
      </c>
      <c r="H630" s="24">
        <f t="shared" si="156"/>
        <v>0</v>
      </c>
      <c r="I630" s="24">
        <f t="shared" si="157"/>
        <v>0</v>
      </c>
      <c r="J630" s="24">
        <f t="shared" si="158"/>
        <v>0</v>
      </c>
      <c r="K630" s="24">
        <v>0.00203</v>
      </c>
      <c r="L630" s="24">
        <f t="shared" si="159"/>
        <v>0.00609</v>
      </c>
      <c r="M630" s="36" t="s">
        <v>1523</v>
      </c>
      <c r="N630" s="36" t="s">
        <v>1526</v>
      </c>
      <c r="O630" s="24">
        <f t="shared" si="160"/>
        <v>0</v>
      </c>
      <c r="Z630" s="24">
        <f t="shared" si="161"/>
        <v>0</v>
      </c>
      <c r="AA630" s="24">
        <f t="shared" si="162"/>
        <v>0</v>
      </c>
      <c r="AB630" s="24">
        <f t="shared" si="163"/>
        <v>0</v>
      </c>
      <c r="AD630" s="39">
        <v>15</v>
      </c>
      <c r="AE630" s="39">
        <f t="shared" si="164"/>
        <v>0</v>
      </c>
      <c r="AF630" s="39">
        <f t="shared" si="165"/>
        <v>0</v>
      </c>
      <c r="AM630" s="39">
        <f t="shared" si="166"/>
        <v>0</v>
      </c>
      <c r="AN630" s="39">
        <f t="shared" si="167"/>
        <v>0</v>
      </c>
      <c r="AO630" s="40" t="s">
        <v>1544</v>
      </c>
      <c r="AP630" s="40" t="s">
        <v>1599</v>
      </c>
      <c r="AQ630" s="31" t="s">
        <v>1609</v>
      </c>
    </row>
    <row r="631" spans="1:43" ht="12.75">
      <c r="A631" s="6" t="s">
        <v>383</v>
      </c>
      <c r="B631" s="6" t="s">
        <v>590</v>
      </c>
      <c r="C631" s="6" t="s">
        <v>777</v>
      </c>
      <c r="D631" s="6" t="s">
        <v>1202</v>
      </c>
      <c r="E631" s="6" t="s">
        <v>1494</v>
      </c>
      <c r="F631" s="24">
        <v>10</v>
      </c>
      <c r="G631" s="24">
        <v>0</v>
      </c>
      <c r="H631" s="24">
        <f t="shared" si="156"/>
        <v>0</v>
      </c>
      <c r="I631" s="24">
        <f t="shared" si="157"/>
        <v>0</v>
      </c>
      <c r="J631" s="24">
        <f t="shared" si="158"/>
        <v>0</v>
      </c>
      <c r="K631" s="24">
        <v>0.016</v>
      </c>
      <c r="L631" s="24">
        <f t="shared" si="159"/>
        <v>0.16</v>
      </c>
      <c r="M631" s="36" t="s">
        <v>1523</v>
      </c>
      <c r="N631" s="36" t="s">
        <v>1526</v>
      </c>
      <c r="O631" s="24">
        <f t="shared" si="160"/>
        <v>0</v>
      </c>
      <c r="Z631" s="24">
        <f t="shared" si="161"/>
        <v>0</v>
      </c>
      <c r="AA631" s="24">
        <f t="shared" si="162"/>
        <v>0</v>
      </c>
      <c r="AB631" s="24">
        <f t="shared" si="163"/>
        <v>0</v>
      </c>
      <c r="AD631" s="39">
        <v>15</v>
      </c>
      <c r="AE631" s="39">
        <f t="shared" si="164"/>
        <v>0</v>
      </c>
      <c r="AF631" s="39">
        <f t="shared" si="165"/>
        <v>0</v>
      </c>
      <c r="AM631" s="39">
        <f t="shared" si="166"/>
        <v>0</v>
      </c>
      <c r="AN631" s="39">
        <f t="shared" si="167"/>
        <v>0</v>
      </c>
      <c r="AO631" s="40" t="s">
        <v>1544</v>
      </c>
      <c r="AP631" s="40" t="s">
        <v>1599</v>
      </c>
      <c r="AQ631" s="31" t="s">
        <v>1609</v>
      </c>
    </row>
    <row r="632" spans="1:43" ht="12.75">
      <c r="A632" s="6" t="s">
        <v>384</v>
      </c>
      <c r="B632" s="6" t="s">
        <v>590</v>
      </c>
      <c r="C632" s="6" t="s">
        <v>778</v>
      </c>
      <c r="D632" s="6" t="s">
        <v>1203</v>
      </c>
      <c r="E632" s="6" t="s">
        <v>1494</v>
      </c>
      <c r="F632" s="24">
        <v>11</v>
      </c>
      <c r="G632" s="24">
        <v>0</v>
      </c>
      <c r="H632" s="24">
        <f t="shared" si="156"/>
        <v>0</v>
      </c>
      <c r="I632" s="24">
        <f t="shared" si="157"/>
        <v>0</v>
      </c>
      <c r="J632" s="24">
        <f t="shared" si="158"/>
        <v>0</v>
      </c>
      <c r="K632" s="24">
        <v>0.016</v>
      </c>
      <c r="L632" s="24">
        <f t="shared" si="159"/>
        <v>0.176</v>
      </c>
      <c r="M632" s="36" t="s">
        <v>1523</v>
      </c>
      <c r="N632" s="36" t="s">
        <v>1526</v>
      </c>
      <c r="O632" s="24">
        <f t="shared" si="160"/>
        <v>0</v>
      </c>
      <c r="Z632" s="24">
        <f t="shared" si="161"/>
        <v>0</v>
      </c>
      <c r="AA632" s="24">
        <f t="shared" si="162"/>
        <v>0</v>
      </c>
      <c r="AB632" s="24">
        <f t="shared" si="163"/>
        <v>0</v>
      </c>
      <c r="AD632" s="39">
        <v>15</v>
      </c>
      <c r="AE632" s="39">
        <f t="shared" si="164"/>
        <v>0</v>
      </c>
      <c r="AF632" s="39">
        <f t="shared" si="165"/>
        <v>0</v>
      </c>
      <c r="AM632" s="39">
        <f t="shared" si="166"/>
        <v>0</v>
      </c>
      <c r="AN632" s="39">
        <f t="shared" si="167"/>
        <v>0</v>
      </c>
      <c r="AO632" s="40" t="s">
        <v>1544</v>
      </c>
      <c r="AP632" s="40" t="s">
        <v>1599</v>
      </c>
      <c r="AQ632" s="31" t="s">
        <v>1609</v>
      </c>
    </row>
    <row r="633" spans="1:37" ht="12.75">
      <c r="A633" s="4"/>
      <c r="B633" s="14" t="s">
        <v>590</v>
      </c>
      <c r="C633" s="14" t="s">
        <v>783</v>
      </c>
      <c r="D633" s="104" t="s">
        <v>1211</v>
      </c>
      <c r="E633" s="105"/>
      <c r="F633" s="105"/>
      <c r="G633" s="105"/>
      <c r="H633" s="42">
        <f>SUM(H634:H636)</f>
        <v>0</v>
      </c>
      <c r="I633" s="42">
        <f>SUM(I634:I636)</f>
        <v>0</v>
      </c>
      <c r="J633" s="42">
        <f>H633+I633</f>
        <v>0</v>
      </c>
      <c r="K633" s="31"/>
      <c r="L633" s="42">
        <f>SUM(L634:L636)</f>
        <v>0.17241</v>
      </c>
      <c r="M633" s="31"/>
      <c r="P633" s="42">
        <f>IF(Q633="PR",J633,SUM(O634:O636))</f>
        <v>0</v>
      </c>
      <c r="Q633" s="31" t="s">
        <v>1530</v>
      </c>
      <c r="R633" s="42">
        <f>IF(Q633="HS",H633,0)</f>
        <v>0</v>
      </c>
      <c r="S633" s="42">
        <f>IF(Q633="HS",I633-P633,0)</f>
        <v>0</v>
      </c>
      <c r="T633" s="42">
        <f>IF(Q633="PS",H633,0)</f>
        <v>0</v>
      </c>
      <c r="U633" s="42">
        <f>IF(Q633="PS",I633-P633,0)</f>
        <v>0</v>
      </c>
      <c r="V633" s="42">
        <f>IF(Q633="MP",H633,0)</f>
        <v>0</v>
      </c>
      <c r="W633" s="42">
        <f>IF(Q633="MP",I633-P633,0)</f>
        <v>0</v>
      </c>
      <c r="X633" s="42">
        <f>IF(Q633="OM",H633,0)</f>
        <v>0</v>
      </c>
      <c r="Y633" s="31" t="s">
        <v>590</v>
      </c>
      <c r="AI633" s="42">
        <f>SUM(Z634:Z636)</f>
        <v>0</v>
      </c>
      <c r="AJ633" s="42">
        <f>SUM(AA634:AA636)</f>
        <v>0</v>
      </c>
      <c r="AK633" s="42">
        <f>SUM(AB634:AB636)</f>
        <v>0</v>
      </c>
    </row>
    <row r="634" spans="1:43" ht="12.75">
      <c r="A634" s="5" t="s">
        <v>385</v>
      </c>
      <c r="B634" s="5" t="s">
        <v>590</v>
      </c>
      <c r="C634" s="5" t="s">
        <v>784</v>
      </c>
      <c r="D634" s="5" t="s">
        <v>1212</v>
      </c>
      <c r="E634" s="5" t="s">
        <v>1494</v>
      </c>
      <c r="F634" s="22">
        <v>3</v>
      </c>
      <c r="G634" s="22">
        <v>0</v>
      </c>
      <c r="H634" s="22">
        <f>F634*AE634</f>
        <v>0</v>
      </c>
      <c r="I634" s="22">
        <f>J634-H634</f>
        <v>0</v>
      </c>
      <c r="J634" s="22">
        <f>F634*G634</f>
        <v>0</v>
      </c>
      <c r="K634" s="22">
        <v>0.05747</v>
      </c>
      <c r="L634" s="22">
        <f>F634*K634</f>
        <v>0.17241</v>
      </c>
      <c r="M634" s="35" t="s">
        <v>1523</v>
      </c>
      <c r="N634" s="35" t="s">
        <v>9</v>
      </c>
      <c r="O634" s="22">
        <f>IF(N634="5",I634,0)</f>
        <v>0</v>
      </c>
      <c r="Z634" s="22">
        <f>IF(AD634=0,J634,0)</f>
        <v>0</v>
      </c>
      <c r="AA634" s="22">
        <f>IF(AD634=15,J634,0)</f>
        <v>0</v>
      </c>
      <c r="AB634" s="22">
        <f>IF(AD634=21,J634,0)</f>
        <v>0</v>
      </c>
      <c r="AD634" s="39">
        <v>15</v>
      </c>
      <c r="AE634" s="39">
        <f>G634*0.877927065026362</f>
        <v>0</v>
      </c>
      <c r="AF634" s="39">
        <f>G634*(1-0.877927065026362)</f>
        <v>0</v>
      </c>
      <c r="AM634" s="39">
        <f>F634*AE634</f>
        <v>0</v>
      </c>
      <c r="AN634" s="39">
        <f>F634*AF634</f>
        <v>0</v>
      </c>
      <c r="AO634" s="40" t="s">
        <v>1570</v>
      </c>
      <c r="AP634" s="40" t="s">
        <v>1599</v>
      </c>
      <c r="AQ634" s="31" t="s">
        <v>1609</v>
      </c>
    </row>
    <row r="635" spans="1:43" ht="12.75">
      <c r="A635" s="6" t="s">
        <v>386</v>
      </c>
      <c r="B635" s="6" t="s">
        <v>590</v>
      </c>
      <c r="C635" s="6" t="s">
        <v>785</v>
      </c>
      <c r="D635" s="6" t="s">
        <v>1213</v>
      </c>
      <c r="E635" s="6" t="s">
        <v>1494</v>
      </c>
      <c r="F635" s="24">
        <v>3</v>
      </c>
      <c r="G635" s="24">
        <v>0</v>
      </c>
      <c r="H635" s="24">
        <f>F635*AE635</f>
        <v>0</v>
      </c>
      <c r="I635" s="24">
        <f>J635-H635</f>
        <v>0</v>
      </c>
      <c r="J635" s="24">
        <f>F635*G635</f>
        <v>0</v>
      </c>
      <c r="K635" s="24">
        <v>0</v>
      </c>
      <c r="L635" s="24">
        <f>F635*K635</f>
        <v>0</v>
      </c>
      <c r="M635" s="36" t="s">
        <v>1523</v>
      </c>
      <c r="N635" s="36" t="s">
        <v>1526</v>
      </c>
      <c r="O635" s="24">
        <f>IF(N635="5",I635,0)</f>
        <v>0</v>
      </c>
      <c r="Z635" s="24">
        <f>IF(AD635=0,J635,0)</f>
        <v>0</v>
      </c>
      <c r="AA635" s="24">
        <f>IF(AD635=15,J635,0)</f>
        <v>0</v>
      </c>
      <c r="AB635" s="24">
        <f>IF(AD635=21,J635,0)</f>
        <v>0</v>
      </c>
      <c r="AD635" s="39">
        <v>15</v>
      </c>
      <c r="AE635" s="39">
        <f>G635*1</f>
        <v>0</v>
      </c>
      <c r="AF635" s="39">
        <f>G635*(1-1)</f>
        <v>0</v>
      </c>
      <c r="AM635" s="39">
        <f>F635*AE635</f>
        <v>0</v>
      </c>
      <c r="AN635" s="39">
        <f>F635*AF635</f>
        <v>0</v>
      </c>
      <c r="AO635" s="40" t="s">
        <v>1570</v>
      </c>
      <c r="AP635" s="40" t="s">
        <v>1599</v>
      </c>
      <c r="AQ635" s="31" t="s">
        <v>1609</v>
      </c>
    </row>
    <row r="636" spans="1:43" ht="12.75">
      <c r="A636" s="6" t="s">
        <v>387</v>
      </c>
      <c r="B636" s="6" t="s">
        <v>590</v>
      </c>
      <c r="C636" s="6" t="s">
        <v>786</v>
      </c>
      <c r="D636" s="6" t="s">
        <v>1214</v>
      </c>
      <c r="E636" s="6" t="s">
        <v>1494</v>
      </c>
      <c r="F636" s="24">
        <v>3</v>
      </c>
      <c r="G636" s="24">
        <v>0</v>
      </c>
      <c r="H636" s="24">
        <f>F636*AE636</f>
        <v>0</v>
      </c>
      <c r="I636" s="24">
        <f>J636-H636</f>
        <v>0</v>
      </c>
      <c r="J636" s="24">
        <f>F636*G636</f>
        <v>0</v>
      </c>
      <c r="K636" s="24">
        <v>0</v>
      </c>
      <c r="L636" s="24">
        <f>F636*K636</f>
        <v>0</v>
      </c>
      <c r="M636" s="36" t="s">
        <v>1523</v>
      </c>
      <c r="N636" s="36" t="s">
        <v>1526</v>
      </c>
      <c r="O636" s="24">
        <f>IF(N636="5",I636,0)</f>
        <v>0</v>
      </c>
      <c r="Z636" s="24">
        <f>IF(AD636=0,J636,0)</f>
        <v>0</v>
      </c>
      <c r="AA636" s="24">
        <f>IF(AD636=15,J636,0)</f>
        <v>0</v>
      </c>
      <c r="AB636" s="24">
        <f>IF(AD636=21,J636,0)</f>
        <v>0</v>
      </c>
      <c r="AD636" s="39">
        <v>15</v>
      </c>
      <c r="AE636" s="39">
        <f>G636*1</f>
        <v>0</v>
      </c>
      <c r="AF636" s="39">
        <f>G636*(1-1)</f>
        <v>0</v>
      </c>
      <c r="AM636" s="39">
        <f>F636*AE636</f>
        <v>0</v>
      </c>
      <c r="AN636" s="39">
        <f>F636*AF636</f>
        <v>0</v>
      </c>
      <c r="AO636" s="40" t="s">
        <v>1570</v>
      </c>
      <c r="AP636" s="40" t="s">
        <v>1599</v>
      </c>
      <c r="AQ636" s="31" t="s">
        <v>1609</v>
      </c>
    </row>
    <row r="637" spans="1:37" ht="12.75">
      <c r="A637" s="4"/>
      <c r="B637" s="14" t="s">
        <v>590</v>
      </c>
      <c r="C637" s="14" t="s">
        <v>630</v>
      </c>
      <c r="D637" s="104" t="s">
        <v>1003</v>
      </c>
      <c r="E637" s="105"/>
      <c r="F637" s="105"/>
      <c r="G637" s="105"/>
      <c r="H637" s="42">
        <f>SUM(H638:H651)</f>
        <v>0</v>
      </c>
      <c r="I637" s="42">
        <f>SUM(I638:I651)</f>
        <v>0</v>
      </c>
      <c r="J637" s="42">
        <f>H637+I637</f>
        <v>0</v>
      </c>
      <c r="K637" s="31"/>
      <c r="L637" s="42">
        <f>SUM(L638:L651)</f>
        <v>1.1628817999999999</v>
      </c>
      <c r="M637" s="31"/>
      <c r="P637" s="42">
        <f>IF(Q637="PR",J637,SUM(O638:O651))</f>
        <v>0</v>
      </c>
      <c r="Q637" s="31" t="s">
        <v>1530</v>
      </c>
      <c r="R637" s="42">
        <f>IF(Q637="HS",H637,0)</f>
        <v>0</v>
      </c>
      <c r="S637" s="42">
        <f>IF(Q637="HS",I637-P637,0)</f>
        <v>0</v>
      </c>
      <c r="T637" s="42">
        <f>IF(Q637="PS",H637,0)</f>
        <v>0</v>
      </c>
      <c r="U637" s="42">
        <f>IF(Q637="PS",I637-P637,0)</f>
        <v>0</v>
      </c>
      <c r="V637" s="42">
        <f>IF(Q637="MP",H637,0)</f>
        <v>0</v>
      </c>
      <c r="W637" s="42">
        <f>IF(Q637="MP",I637-P637,0)</f>
        <v>0</v>
      </c>
      <c r="X637" s="42">
        <f>IF(Q637="OM",H637,0)</f>
        <v>0</v>
      </c>
      <c r="Y637" s="31" t="s">
        <v>590</v>
      </c>
      <c r="AI637" s="42">
        <f>SUM(Z638:Z651)</f>
        <v>0</v>
      </c>
      <c r="AJ637" s="42">
        <f>SUM(AA638:AA651)</f>
        <v>0</v>
      </c>
      <c r="AK637" s="42">
        <f>SUM(AB638:AB651)</f>
        <v>0</v>
      </c>
    </row>
    <row r="638" spans="1:43" ht="12.75">
      <c r="A638" s="5" t="s">
        <v>388</v>
      </c>
      <c r="B638" s="5" t="s">
        <v>590</v>
      </c>
      <c r="C638" s="5" t="s">
        <v>631</v>
      </c>
      <c r="D638" s="5" t="s">
        <v>1004</v>
      </c>
      <c r="E638" s="5" t="s">
        <v>1493</v>
      </c>
      <c r="F638" s="22">
        <v>11.07</v>
      </c>
      <c r="G638" s="22">
        <v>0</v>
      </c>
      <c r="H638" s="22">
        <f>F638*AE638</f>
        <v>0</v>
      </c>
      <c r="I638" s="22">
        <f>J638-H638</f>
        <v>0</v>
      </c>
      <c r="J638" s="22">
        <f>F638*G638</f>
        <v>0</v>
      </c>
      <c r="K638" s="22">
        <v>0</v>
      </c>
      <c r="L638" s="22">
        <f>F638*K638</f>
        <v>0</v>
      </c>
      <c r="M638" s="35" t="s">
        <v>1523</v>
      </c>
      <c r="N638" s="35" t="s">
        <v>7</v>
      </c>
      <c r="O638" s="22">
        <f>IF(N638="5",I638,0)</f>
        <v>0</v>
      </c>
      <c r="Z638" s="22">
        <f>IF(AD638=0,J638,0)</f>
        <v>0</v>
      </c>
      <c r="AA638" s="22">
        <f>IF(AD638=15,J638,0)</f>
        <v>0</v>
      </c>
      <c r="AB638" s="22">
        <f>IF(AD638=21,J638,0)</f>
        <v>0</v>
      </c>
      <c r="AD638" s="39">
        <v>15</v>
      </c>
      <c r="AE638" s="39">
        <f>G638*0</f>
        <v>0</v>
      </c>
      <c r="AF638" s="39">
        <f>G638*(1-0)</f>
        <v>0</v>
      </c>
      <c r="AM638" s="39">
        <f>F638*AE638</f>
        <v>0</v>
      </c>
      <c r="AN638" s="39">
        <f>F638*AF638</f>
        <v>0</v>
      </c>
      <c r="AO638" s="40" t="s">
        <v>1545</v>
      </c>
      <c r="AP638" s="40" t="s">
        <v>1600</v>
      </c>
      <c r="AQ638" s="31" t="s">
        <v>1609</v>
      </c>
    </row>
    <row r="639" ht="12.75">
      <c r="D639" s="18" t="s">
        <v>1215</v>
      </c>
    </row>
    <row r="640" spans="1:43" ht="12.75">
      <c r="A640" s="5" t="s">
        <v>389</v>
      </c>
      <c r="B640" s="5" t="s">
        <v>590</v>
      </c>
      <c r="C640" s="5" t="s">
        <v>631</v>
      </c>
      <c r="D640" s="5" t="s">
        <v>1004</v>
      </c>
      <c r="E640" s="5" t="s">
        <v>1493</v>
      </c>
      <c r="F640" s="22">
        <v>19.04</v>
      </c>
      <c r="G640" s="22">
        <v>0</v>
      </c>
      <c r="H640" s="22">
        <f>F640*AE640</f>
        <v>0</v>
      </c>
      <c r="I640" s="22">
        <f>J640-H640</f>
        <v>0</v>
      </c>
      <c r="J640" s="22">
        <f>F640*G640</f>
        <v>0</v>
      </c>
      <c r="K640" s="22">
        <v>0</v>
      </c>
      <c r="L640" s="22">
        <f>F640*K640</f>
        <v>0</v>
      </c>
      <c r="M640" s="35" t="s">
        <v>1523</v>
      </c>
      <c r="N640" s="35" t="s">
        <v>7</v>
      </c>
      <c r="O640" s="22">
        <f>IF(N640="5",I640,0)</f>
        <v>0</v>
      </c>
      <c r="Z640" s="22">
        <f>IF(AD640=0,J640,0)</f>
        <v>0</v>
      </c>
      <c r="AA640" s="22">
        <f>IF(AD640=15,J640,0)</f>
        <v>0</v>
      </c>
      <c r="AB640" s="22">
        <f>IF(AD640=21,J640,0)</f>
        <v>0</v>
      </c>
      <c r="AD640" s="39">
        <v>15</v>
      </c>
      <c r="AE640" s="39">
        <f>G640*0</f>
        <v>0</v>
      </c>
      <c r="AF640" s="39">
        <f>G640*(1-0)</f>
        <v>0</v>
      </c>
      <c r="AM640" s="39">
        <f>F640*AE640</f>
        <v>0</v>
      </c>
      <c r="AN640" s="39">
        <f>F640*AF640</f>
        <v>0</v>
      </c>
      <c r="AO640" s="40" t="s">
        <v>1545</v>
      </c>
      <c r="AP640" s="40" t="s">
        <v>1600</v>
      </c>
      <c r="AQ640" s="31" t="s">
        <v>1609</v>
      </c>
    </row>
    <row r="641" ht="12.75">
      <c r="D641" s="18" t="s">
        <v>1218</v>
      </c>
    </row>
    <row r="642" spans="4:6" ht="10.5" customHeight="1">
      <c r="D642" s="17" t="s">
        <v>1219</v>
      </c>
      <c r="F642" s="23">
        <v>19.04</v>
      </c>
    </row>
    <row r="643" spans="1:43" ht="12.75">
      <c r="A643" s="5" t="s">
        <v>390</v>
      </c>
      <c r="B643" s="5" t="s">
        <v>590</v>
      </c>
      <c r="C643" s="5" t="s">
        <v>632</v>
      </c>
      <c r="D643" s="5" t="s">
        <v>1005</v>
      </c>
      <c r="E643" s="5" t="s">
        <v>1495</v>
      </c>
      <c r="F643" s="22">
        <v>34</v>
      </c>
      <c r="G643" s="22">
        <v>0</v>
      </c>
      <c r="H643" s="22">
        <f>F643*AE643</f>
        <v>0</v>
      </c>
      <c r="I643" s="22">
        <f>J643-H643</f>
        <v>0</v>
      </c>
      <c r="J643" s="22">
        <f>F643*G643</f>
        <v>0</v>
      </c>
      <c r="K643" s="22">
        <v>0.00518</v>
      </c>
      <c r="L643" s="22">
        <f>F643*K643</f>
        <v>0.17612</v>
      </c>
      <c r="M643" s="35" t="s">
        <v>1523</v>
      </c>
      <c r="N643" s="35" t="s">
        <v>7</v>
      </c>
      <c r="O643" s="22">
        <f>IF(N643="5",I643,0)</f>
        <v>0</v>
      </c>
      <c r="Z643" s="22">
        <f>IF(AD643=0,J643,0)</f>
        <v>0</v>
      </c>
      <c r="AA643" s="22">
        <f>IF(AD643=15,J643,0)</f>
        <v>0</v>
      </c>
      <c r="AB643" s="22">
        <f>IF(AD643=21,J643,0)</f>
        <v>0</v>
      </c>
      <c r="AD643" s="39">
        <v>15</v>
      </c>
      <c r="AE643" s="39">
        <f>G643*0.0526060606060606</f>
        <v>0</v>
      </c>
      <c r="AF643" s="39">
        <f>G643*(1-0.0526060606060606)</f>
        <v>0</v>
      </c>
      <c r="AM643" s="39">
        <f>F643*AE643</f>
        <v>0</v>
      </c>
      <c r="AN643" s="39">
        <f>F643*AF643</f>
        <v>0</v>
      </c>
      <c r="AO643" s="40" t="s">
        <v>1545</v>
      </c>
      <c r="AP643" s="40" t="s">
        <v>1600</v>
      </c>
      <c r="AQ643" s="31" t="s">
        <v>1609</v>
      </c>
    </row>
    <row r="644" spans="1:43" ht="12.75">
      <c r="A644" s="5" t="s">
        <v>391</v>
      </c>
      <c r="B644" s="5" t="s">
        <v>590</v>
      </c>
      <c r="C644" s="5" t="s">
        <v>787</v>
      </c>
      <c r="D644" s="5" t="s">
        <v>1222</v>
      </c>
      <c r="E644" s="5" t="s">
        <v>1493</v>
      </c>
      <c r="F644" s="22">
        <v>6.54</v>
      </c>
      <c r="G644" s="22">
        <v>0</v>
      </c>
      <c r="H644" s="22">
        <f>F644*AE644</f>
        <v>0</v>
      </c>
      <c r="I644" s="22">
        <f>J644-H644</f>
        <v>0</v>
      </c>
      <c r="J644" s="22">
        <f>F644*G644</f>
        <v>0</v>
      </c>
      <c r="K644" s="22">
        <v>0.00359</v>
      </c>
      <c r="L644" s="22">
        <f>F644*K644</f>
        <v>0.0234786</v>
      </c>
      <c r="M644" s="35" t="s">
        <v>1523</v>
      </c>
      <c r="N644" s="35" t="s">
        <v>9</v>
      </c>
      <c r="O644" s="22">
        <f>IF(N644="5",I644,0)</f>
        <v>0</v>
      </c>
      <c r="Z644" s="22">
        <f>IF(AD644=0,J644,0)</f>
        <v>0</v>
      </c>
      <c r="AA644" s="22">
        <f>IF(AD644=15,J644,0)</f>
        <v>0</v>
      </c>
      <c r="AB644" s="22">
        <f>IF(AD644=21,J644,0)</f>
        <v>0</v>
      </c>
      <c r="AD644" s="39">
        <v>15</v>
      </c>
      <c r="AE644" s="39">
        <f>G644*0.254545857234613</f>
        <v>0</v>
      </c>
      <c r="AF644" s="39">
        <f>G644*(1-0.254545857234613)</f>
        <v>0</v>
      </c>
      <c r="AM644" s="39">
        <f>F644*AE644</f>
        <v>0</v>
      </c>
      <c r="AN644" s="39">
        <f>F644*AF644</f>
        <v>0</v>
      </c>
      <c r="AO644" s="40" t="s">
        <v>1545</v>
      </c>
      <c r="AP644" s="40" t="s">
        <v>1600</v>
      </c>
      <c r="AQ644" s="31" t="s">
        <v>1609</v>
      </c>
    </row>
    <row r="645" ht="12.75">
      <c r="D645" s="18" t="s">
        <v>1223</v>
      </c>
    </row>
    <row r="646" spans="4:6" ht="10.5" customHeight="1">
      <c r="D646" s="17" t="s">
        <v>1224</v>
      </c>
      <c r="F646" s="23">
        <v>6.54</v>
      </c>
    </row>
    <row r="647" spans="1:43" ht="12.75">
      <c r="A647" s="6" t="s">
        <v>392</v>
      </c>
      <c r="B647" s="6" t="s">
        <v>590</v>
      </c>
      <c r="C647" s="6" t="s">
        <v>633</v>
      </c>
      <c r="D647" s="6" t="s">
        <v>1216</v>
      </c>
      <c r="E647" s="6" t="s">
        <v>1493</v>
      </c>
      <c r="F647" s="24">
        <v>12.177</v>
      </c>
      <c r="G647" s="24">
        <v>0</v>
      </c>
      <c r="H647" s="24">
        <f>F647*AE647</f>
        <v>0</v>
      </c>
      <c r="I647" s="24">
        <f>J647-H647</f>
        <v>0</v>
      </c>
      <c r="J647" s="24">
        <f>F647*G647</f>
        <v>0</v>
      </c>
      <c r="K647" s="24">
        <v>0.0192</v>
      </c>
      <c r="L647" s="24">
        <f>F647*K647</f>
        <v>0.23379839999999996</v>
      </c>
      <c r="M647" s="36" t="s">
        <v>1523</v>
      </c>
      <c r="N647" s="36" t="s">
        <v>1526</v>
      </c>
      <c r="O647" s="24">
        <f>IF(N647="5",I647,0)</f>
        <v>0</v>
      </c>
      <c r="Z647" s="24">
        <f>IF(AD647=0,J647,0)</f>
        <v>0</v>
      </c>
      <c r="AA647" s="24">
        <f>IF(AD647=15,J647,0)</f>
        <v>0</v>
      </c>
      <c r="AB647" s="24">
        <f>IF(AD647=21,J647,0)</f>
        <v>0</v>
      </c>
      <c r="AD647" s="39">
        <v>15</v>
      </c>
      <c r="AE647" s="39">
        <f>G647*1</f>
        <v>0</v>
      </c>
      <c r="AF647" s="39">
        <f>G647*(1-1)</f>
        <v>0</v>
      </c>
      <c r="AM647" s="39">
        <f>F647*AE647</f>
        <v>0</v>
      </c>
      <c r="AN647" s="39">
        <f>F647*AF647</f>
        <v>0</v>
      </c>
      <c r="AO647" s="40" t="s">
        <v>1545</v>
      </c>
      <c r="AP647" s="40" t="s">
        <v>1600</v>
      </c>
      <c r="AQ647" s="31" t="s">
        <v>1609</v>
      </c>
    </row>
    <row r="648" spans="4:6" ht="10.5" customHeight="1">
      <c r="D648" s="17" t="s">
        <v>1217</v>
      </c>
      <c r="F648" s="23">
        <v>12.177</v>
      </c>
    </row>
    <row r="649" spans="1:43" ht="12.75">
      <c r="A649" s="6" t="s">
        <v>393</v>
      </c>
      <c r="B649" s="6" t="s">
        <v>590</v>
      </c>
      <c r="C649" s="6" t="s">
        <v>633</v>
      </c>
      <c r="D649" s="6" t="s">
        <v>1220</v>
      </c>
      <c r="E649" s="6" t="s">
        <v>1493</v>
      </c>
      <c r="F649" s="24">
        <v>30.8</v>
      </c>
      <c r="G649" s="24">
        <v>0</v>
      </c>
      <c r="H649" s="24">
        <f>F649*AE649</f>
        <v>0</v>
      </c>
      <c r="I649" s="24">
        <f>J649-H649</f>
        <v>0</v>
      </c>
      <c r="J649" s="24">
        <f>F649*G649</f>
        <v>0</v>
      </c>
      <c r="K649" s="24">
        <v>0.0192</v>
      </c>
      <c r="L649" s="24">
        <f>F649*K649</f>
        <v>0.59136</v>
      </c>
      <c r="M649" s="36" t="s">
        <v>1523</v>
      </c>
      <c r="N649" s="36" t="s">
        <v>1526</v>
      </c>
      <c r="O649" s="24">
        <f>IF(N649="5",I649,0)</f>
        <v>0</v>
      </c>
      <c r="Z649" s="24">
        <f>IF(AD649=0,J649,0)</f>
        <v>0</v>
      </c>
      <c r="AA649" s="24">
        <f>IF(AD649=15,J649,0)</f>
        <v>0</v>
      </c>
      <c r="AB649" s="24">
        <f>IF(AD649=21,J649,0)</f>
        <v>0</v>
      </c>
      <c r="AD649" s="39">
        <v>15</v>
      </c>
      <c r="AE649" s="39">
        <f>G649*1</f>
        <v>0</v>
      </c>
      <c r="AF649" s="39">
        <f>G649*(1-1)</f>
        <v>0</v>
      </c>
      <c r="AM649" s="39">
        <f>F649*AE649</f>
        <v>0</v>
      </c>
      <c r="AN649" s="39">
        <f>F649*AF649</f>
        <v>0</v>
      </c>
      <c r="AO649" s="40" t="s">
        <v>1545</v>
      </c>
      <c r="AP649" s="40" t="s">
        <v>1600</v>
      </c>
      <c r="AQ649" s="31" t="s">
        <v>1609</v>
      </c>
    </row>
    <row r="650" spans="4:6" ht="10.5" customHeight="1">
      <c r="D650" s="17" t="s">
        <v>1221</v>
      </c>
      <c r="F650" s="23">
        <v>30.8</v>
      </c>
    </row>
    <row r="651" spans="1:43" ht="12.75">
      <c r="A651" s="6" t="s">
        <v>394</v>
      </c>
      <c r="B651" s="6" t="s">
        <v>590</v>
      </c>
      <c r="C651" s="6" t="s">
        <v>788</v>
      </c>
      <c r="D651" s="6" t="s">
        <v>1225</v>
      </c>
      <c r="E651" s="6" t="s">
        <v>1493</v>
      </c>
      <c r="F651" s="24">
        <v>7.194</v>
      </c>
      <c r="G651" s="24">
        <v>0</v>
      </c>
      <c r="H651" s="24">
        <f>F651*AE651</f>
        <v>0</v>
      </c>
      <c r="I651" s="24">
        <f>J651-H651</f>
        <v>0</v>
      </c>
      <c r="J651" s="24">
        <f>F651*G651</f>
        <v>0</v>
      </c>
      <c r="K651" s="24">
        <v>0.0192</v>
      </c>
      <c r="L651" s="24">
        <f>F651*K651</f>
        <v>0.1381248</v>
      </c>
      <c r="M651" s="36" t="s">
        <v>1523</v>
      </c>
      <c r="N651" s="36" t="s">
        <v>1526</v>
      </c>
      <c r="O651" s="24">
        <f>IF(N651="5",I651,0)</f>
        <v>0</v>
      </c>
      <c r="Z651" s="24">
        <f>IF(AD651=0,J651,0)</f>
        <v>0</v>
      </c>
      <c r="AA651" s="24">
        <f>IF(AD651=15,J651,0)</f>
        <v>0</v>
      </c>
      <c r="AB651" s="24">
        <f>IF(AD651=21,J651,0)</f>
        <v>0</v>
      </c>
      <c r="AD651" s="39">
        <v>15</v>
      </c>
      <c r="AE651" s="39">
        <f>G651*1</f>
        <v>0</v>
      </c>
      <c r="AF651" s="39">
        <f>G651*(1-1)</f>
        <v>0</v>
      </c>
      <c r="AM651" s="39">
        <f>F651*AE651</f>
        <v>0</v>
      </c>
      <c r="AN651" s="39">
        <f>F651*AF651</f>
        <v>0</v>
      </c>
      <c r="AO651" s="40" t="s">
        <v>1545</v>
      </c>
      <c r="AP651" s="40" t="s">
        <v>1600</v>
      </c>
      <c r="AQ651" s="31" t="s">
        <v>1609</v>
      </c>
    </row>
    <row r="652" spans="4:6" ht="10.5" customHeight="1">
      <c r="D652" s="17" t="s">
        <v>1226</v>
      </c>
      <c r="F652" s="23">
        <v>7.194</v>
      </c>
    </row>
    <row r="653" spans="1:37" ht="12.75">
      <c r="A653" s="4"/>
      <c r="B653" s="14" t="s">
        <v>590</v>
      </c>
      <c r="C653" s="14" t="s">
        <v>789</v>
      </c>
      <c r="D653" s="104" t="s">
        <v>1227</v>
      </c>
      <c r="E653" s="105"/>
      <c r="F653" s="105"/>
      <c r="G653" s="105"/>
      <c r="H653" s="42">
        <f>SUM(H654:H661)</f>
        <v>0</v>
      </c>
      <c r="I653" s="42">
        <f>SUM(I654:I661)</f>
        <v>0</v>
      </c>
      <c r="J653" s="42">
        <f>H653+I653</f>
        <v>0</v>
      </c>
      <c r="K653" s="31"/>
      <c r="L653" s="42">
        <f>SUM(L654:L661)</f>
        <v>1.4343872</v>
      </c>
      <c r="M653" s="31"/>
      <c r="P653" s="42">
        <f>IF(Q653="PR",J653,SUM(O654:O661))</f>
        <v>0</v>
      </c>
      <c r="Q653" s="31" t="s">
        <v>1530</v>
      </c>
      <c r="R653" s="42">
        <f>IF(Q653="HS",H653,0)</f>
        <v>0</v>
      </c>
      <c r="S653" s="42">
        <f>IF(Q653="HS",I653-P653,0)</f>
        <v>0</v>
      </c>
      <c r="T653" s="42">
        <f>IF(Q653="PS",H653,0)</f>
        <v>0</v>
      </c>
      <c r="U653" s="42">
        <f>IF(Q653="PS",I653-P653,0)</f>
        <v>0</v>
      </c>
      <c r="V653" s="42">
        <f>IF(Q653="MP",H653,0)</f>
        <v>0</v>
      </c>
      <c r="W653" s="42">
        <f>IF(Q653="MP",I653-P653,0)</f>
        <v>0</v>
      </c>
      <c r="X653" s="42">
        <f>IF(Q653="OM",H653,0)</f>
        <v>0</v>
      </c>
      <c r="Y653" s="31" t="s">
        <v>590</v>
      </c>
      <c r="AI653" s="42">
        <f>SUM(Z654:Z661)</f>
        <v>0</v>
      </c>
      <c r="AJ653" s="42">
        <f>SUM(AA654:AA661)</f>
        <v>0</v>
      </c>
      <c r="AK653" s="42">
        <f>SUM(AB654:AB661)</f>
        <v>0</v>
      </c>
    </row>
    <row r="654" spans="1:43" ht="12.75">
      <c r="A654" s="5" t="s">
        <v>395</v>
      </c>
      <c r="B654" s="5" t="s">
        <v>590</v>
      </c>
      <c r="C654" s="5" t="s">
        <v>790</v>
      </c>
      <c r="D654" s="5" t="s">
        <v>1228</v>
      </c>
      <c r="E654" s="5" t="s">
        <v>1493</v>
      </c>
      <c r="F654" s="22">
        <v>175.12</v>
      </c>
      <c r="G654" s="22">
        <v>0</v>
      </c>
      <c r="H654" s="22">
        <f>F654*AE654</f>
        <v>0</v>
      </c>
      <c r="I654" s="22">
        <f>J654-H654</f>
        <v>0</v>
      </c>
      <c r="J654" s="22">
        <f>F654*G654</f>
        <v>0</v>
      </c>
      <c r="K654" s="22">
        <v>0</v>
      </c>
      <c r="L654" s="22">
        <f>F654*K654</f>
        <v>0</v>
      </c>
      <c r="M654" s="35" t="s">
        <v>1523</v>
      </c>
      <c r="N654" s="35" t="s">
        <v>7</v>
      </c>
      <c r="O654" s="22">
        <f>IF(N654="5",I654,0)</f>
        <v>0</v>
      </c>
      <c r="Z654" s="22">
        <f>IF(AD654=0,J654,0)</f>
        <v>0</v>
      </c>
      <c r="AA654" s="22">
        <f>IF(AD654=15,J654,0)</f>
        <v>0</v>
      </c>
      <c r="AB654" s="22">
        <f>IF(AD654=21,J654,0)</f>
        <v>0</v>
      </c>
      <c r="AD654" s="39">
        <v>15</v>
      </c>
      <c r="AE654" s="39">
        <f>G654*0.377777777777778</f>
        <v>0</v>
      </c>
      <c r="AF654" s="39">
        <f>G654*(1-0.377777777777778)</f>
        <v>0</v>
      </c>
      <c r="AM654" s="39">
        <f>F654*AE654</f>
        <v>0</v>
      </c>
      <c r="AN654" s="39">
        <f>F654*AF654</f>
        <v>0</v>
      </c>
      <c r="AO654" s="40" t="s">
        <v>1571</v>
      </c>
      <c r="AP654" s="40" t="s">
        <v>1600</v>
      </c>
      <c r="AQ654" s="31" t="s">
        <v>1609</v>
      </c>
    </row>
    <row r="655" spans="4:6" ht="10.5" customHeight="1">
      <c r="D655" s="17" t="s">
        <v>1229</v>
      </c>
      <c r="F655" s="23">
        <v>175.12</v>
      </c>
    </row>
    <row r="656" spans="1:43" ht="12.75">
      <c r="A656" s="5" t="s">
        <v>396</v>
      </c>
      <c r="B656" s="5" t="s">
        <v>590</v>
      </c>
      <c r="C656" s="5" t="s">
        <v>791</v>
      </c>
      <c r="D656" s="5" t="s">
        <v>1230</v>
      </c>
      <c r="E656" s="5" t="s">
        <v>1493</v>
      </c>
      <c r="F656" s="22">
        <v>159.2</v>
      </c>
      <c r="G656" s="22">
        <v>0</v>
      </c>
      <c r="H656" s="22">
        <f>F656*AE656</f>
        <v>0</v>
      </c>
      <c r="I656" s="22">
        <f>J656-H656</f>
        <v>0</v>
      </c>
      <c r="J656" s="22">
        <f>F656*G656</f>
        <v>0</v>
      </c>
      <c r="K656" s="22">
        <v>5E-05</v>
      </c>
      <c r="L656" s="22">
        <f>F656*K656</f>
        <v>0.00796</v>
      </c>
      <c r="M656" s="35" t="s">
        <v>1523</v>
      </c>
      <c r="N656" s="35" t="s">
        <v>7</v>
      </c>
      <c r="O656" s="22">
        <f>IF(N656="5",I656,0)</f>
        <v>0</v>
      </c>
      <c r="Z656" s="22">
        <f>IF(AD656=0,J656,0)</f>
        <v>0</v>
      </c>
      <c r="AA656" s="22">
        <f>IF(AD656=15,J656,0)</f>
        <v>0</v>
      </c>
      <c r="AB656" s="22">
        <f>IF(AD656=21,J656,0)</f>
        <v>0</v>
      </c>
      <c r="AD656" s="39">
        <v>15</v>
      </c>
      <c r="AE656" s="39">
        <f>G656*0.112006688963211</f>
        <v>0</v>
      </c>
      <c r="AF656" s="39">
        <f>G656*(1-0.112006688963211)</f>
        <v>0</v>
      </c>
      <c r="AM656" s="39">
        <f>F656*AE656</f>
        <v>0</v>
      </c>
      <c r="AN656" s="39">
        <f>F656*AF656</f>
        <v>0</v>
      </c>
      <c r="AO656" s="40" t="s">
        <v>1571</v>
      </c>
      <c r="AP656" s="40" t="s">
        <v>1600</v>
      </c>
      <c r="AQ656" s="31" t="s">
        <v>1609</v>
      </c>
    </row>
    <row r="657" spans="4:6" ht="10.5" customHeight="1">
      <c r="D657" s="17" t="s">
        <v>1193</v>
      </c>
      <c r="F657" s="23">
        <v>159.2</v>
      </c>
    </row>
    <row r="658" spans="1:43" ht="12.75">
      <c r="A658" s="5" t="s">
        <v>397</v>
      </c>
      <c r="B658" s="5" t="s">
        <v>590</v>
      </c>
      <c r="C658" s="5" t="s">
        <v>793</v>
      </c>
      <c r="D658" s="5" t="s">
        <v>1233</v>
      </c>
      <c r="E658" s="5" t="s">
        <v>1493</v>
      </c>
      <c r="F658" s="22">
        <v>175.12</v>
      </c>
      <c r="G658" s="22">
        <v>0</v>
      </c>
      <c r="H658" s="22">
        <f>F658*AE658</f>
        <v>0</v>
      </c>
      <c r="I658" s="22">
        <f>J658-H658</f>
        <v>0</v>
      </c>
      <c r="J658" s="22">
        <f>F658*G658</f>
        <v>0</v>
      </c>
      <c r="K658" s="22">
        <v>1E-05</v>
      </c>
      <c r="L658" s="22">
        <f>F658*K658</f>
        <v>0.0017512000000000003</v>
      </c>
      <c r="M658" s="35" t="s">
        <v>1523</v>
      </c>
      <c r="N658" s="35" t="s">
        <v>7</v>
      </c>
      <c r="O658" s="22">
        <f>IF(N658="5",I658,0)</f>
        <v>0</v>
      </c>
      <c r="Z658" s="22">
        <f>IF(AD658=0,J658,0)</f>
        <v>0</v>
      </c>
      <c r="AA658" s="22">
        <f>IF(AD658=15,J658,0)</f>
        <v>0</v>
      </c>
      <c r="AB658" s="22">
        <f>IF(AD658=21,J658,0)</f>
        <v>0</v>
      </c>
      <c r="AD658" s="39">
        <v>15</v>
      </c>
      <c r="AE658" s="39">
        <f>G658*0.545945945945946</f>
        <v>0</v>
      </c>
      <c r="AF658" s="39">
        <f>G658*(1-0.545945945945946)</f>
        <v>0</v>
      </c>
      <c r="AM658" s="39">
        <f>F658*AE658</f>
        <v>0</v>
      </c>
      <c r="AN658" s="39">
        <f>F658*AF658</f>
        <v>0</v>
      </c>
      <c r="AO658" s="40" t="s">
        <v>1571</v>
      </c>
      <c r="AP658" s="40" t="s">
        <v>1600</v>
      </c>
      <c r="AQ658" s="31" t="s">
        <v>1609</v>
      </c>
    </row>
    <row r="659" spans="4:6" ht="10.5" customHeight="1">
      <c r="D659" s="17" t="s">
        <v>1229</v>
      </c>
      <c r="F659" s="23">
        <v>175.12</v>
      </c>
    </row>
    <row r="660" spans="1:43" ht="12.75">
      <c r="A660" s="5" t="s">
        <v>398</v>
      </c>
      <c r="B660" s="5" t="s">
        <v>590</v>
      </c>
      <c r="C660" s="5" t="s">
        <v>794</v>
      </c>
      <c r="D660" s="5" t="s">
        <v>1234</v>
      </c>
      <c r="E660" s="5" t="s">
        <v>1495</v>
      </c>
      <c r="F660" s="22">
        <v>154</v>
      </c>
      <c r="G660" s="22">
        <v>0</v>
      </c>
      <c r="H660" s="22">
        <f>F660*AE660</f>
        <v>0</v>
      </c>
      <c r="I660" s="22">
        <f>J660-H660</f>
        <v>0</v>
      </c>
      <c r="J660" s="22">
        <f>F660*G660</f>
        <v>0</v>
      </c>
      <c r="K660" s="22">
        <v>0.00095</v>
      </c>
      <c r="L660" s="22">
        <f>F660*K660</f>
        <v>0.1463</v>
      </c>
      <c r="M660" s="35" t="s">
        <v>1523</v>
      </c>
      <c r="N660" s="35" t="s">
        <v>7</v>
      </c>
      <c r="O660" s="22">
        <f>IF(N660="5",I660,0)</f>
        <v>0</v>
      </c>
      <c r="Z660" s="22">
        <f>IF(AD660=0,J660,0)</f>
        <v>0</v>
      </c>
      <c r="AA660" s="22">
        <f>IF(AD660=15,J660,0)</f>
        <v>0</v>
      </c>
      <c r="AB660" s="22">
        <f>IF(AD660=21,J660,0)</f>
        <v>0</v>
      </c>
      <c r="AD660" s="39">
        <v>15</v>
      </c>
      <c r="AE660" s="39">
        <f>G660*0.30912436410867</f>
        <v>0</v>
      </c>
      <c r="AF660" s="39">
        <f>G660*(1-0.30912436410867)</f>
        <v>0</v>
      </c>
      <c r="AM660" s="39">
        <f>F660*AE660</f>
        <v>0</v>
      </c>
      <c r="AN660" s="39">
        <f>F660*AF660</f>
        <v>0</v>
      </c>
      <c r="AO660" s="40" t="s">
        <v>1571</v>
      </c>
      <c r="AP660" s="40" t="s">
        <v>1600</v>
      </c>
      <c r="AQ660" s="31" t="s">
        <v>1609</v>
      </c>
    </row>
    <row r="661" spans="1:43" ht="12.75">
      <c r="A661" s="6" t="s">
        <v>399</v>
      </c>
      <c r="B661" s="6" t="s">
        <v>590</v>
      </c>
      <c r="C661" s="6" t="s">
        <v>792</v>
      </c>
      <c r="D661" s="6" t="s">
        <v>1231</v>
      </c>
      <c r="E661" s="6" t="s">
        <v>1493</v>
      </c>
      <c r="F661" s="24">
        <v>175.12</v>
      </c>
      <c r="G661" s="24">
        <v>0</v>
      </c>
      <c r="H661" s="24">
        <f>F661*AE661</f>
        <v>0</v>
      </c>
      <c r="I661" s="24">
        <f>J661-H661</f>
        <v>0</v>
      </c>
      <c r="J661" s="24">
        <f>F661*G661</f>
        <v>0</v>
      </c>
      <c r="K661" s="24">
        <v>0.0073</v>
      </c>
      <c r="L661" s="24">
        <f>F661*K661</f>
        <v>1.278376</v>
      </c>
      <c r="M661" s="36" t="s">
        <v>1523</v>
      </c>
      <c r="N661" s="36" t="s">
        <v>1526</v>
      </c>
      <c r="O661" s="24">
        <f>IF(N661="5",I661,0)</f>
        <v>0</v>
      </c>
      <c r="Z661" s="24">
        <f>IF(AD661=0,J661,0)</f>
        <v>0</v>
      </c>
      <c r="AA661" s="24">
        <f>IF(AD661=15,J661,0)</f>
        <v>0</v>
      </c>
      <c r="AB661" s="24">
        <f>IF(AD661=21,J661,0)</f>
        <v>0</v>
      </c>
      <c r="AD661" s="39">
        <v>15</v>
      </c>
      <c r="AE661" s="39">
        <f>G661*1</f>
        <v>0</v>
      </c>
      <c r="AF661" s="39">
        <f>G661*(1-1)</f>
        <v>0</v>
      </c>
      <c r="AM661" s="39">
        <f>F661*AE661</f>
        <v>0</v>
      </c>
      <c r="AN661" s="39">
        <f>F661*AF661</f>
        <v>0</v>
      </c>
      <c r="AO661" s="40" t="s">
        <v>1571</v>
      </c>
      <c r="AP661" s="40" t="s">
        <v>1600</v>
      </c>
      <c r="AQ661" s="31" t="s">
        <v>1609</v>
      </c>
    </row>
    <row r="662" spans="4:6" ht="10.5" customHeight="1">
      <c r="D662" s="17" t="s">
        <v>1232</v>
      </c>
      <c r="F662" s="23">
        <v>175.12</v>
      </c>
    </row>
    <row r="663" spans="1:37" ht="12.75">
      <c r="A663" s="4"/>
      <c r="B663" s="14" t="s">
        <v>590</v>
      </c>
      <c r="C663" s="14" t="s">
        <v>634</v>
      </c>
      <c r="D663" s="104" t="s">
        <v>1007</v>
      </c>
      <c r="E663" s="105"/>
      <c r="F663" s="105"/>
      <c r="G663" s="105"/>
      <c r="H663" s="42">
        <f>SUM(H664:H664)</f>
        <v>0</v>
      </c>
      <c r="I663" s="42">
        <f>SUM(I664:I664)</f>
        <v>0</v>
      </c>
      <c r="J663" s="42">
        <f>H663+I663</f>
        <v>0</v>
      </c>
      <c r="K663" s="31"/>
      <c r="L663" s="42">
        <f>SUM(L664:L664)</f>
        <v>0.15919999999999998</v>
      </c>
      <c r="M663" s="31"/>
      <c r="P663" s="42">
        <f>IF(Q663="PR",J663,SUM(O664:O664))</f>
        <v>0</v>
      </c>
      <c r="Q663" s="31" t="s">
        <v>1530</v>
      </c>
      <c r="R663" s="42">
        <f>IF(Q663="HS",H663,0)</f>
        <v>0</v>
      </c>
      <c r="S663" s="42">
        <f>IF(Q663="HS",I663-P663,0)</f>
        <v>0</v>
      </c>
      <c r="T663" s="42">
        <f>IF(Q663="PS",H663,0)</f>
        <v>0</v>
      </c>
      <c r="U663" s="42">
        <f>IF(Q663="PS",I663-P663,0)</f>
        <v>0</v>
      </c>
      <c r="V663" s="42">
        <f>IF(Q663="MP",H663,0)</f>
        <v>0</v>
      </c>
      <c r="W663" s="42">
        <f>IF(Q663="MP",I663-P663,0)</f>
        <v>0</v>
      </c>
      <c r="X663" s="42">
        <f>IF(Q663="OM",H663,0)</f>
        <v>0</v>
      </c>
      <c r="Y663" s="31" t="s">
        <v>590</v>
      </c>
      <c r="AI663" s="42">
        <f>SUM(Z664:Z664)</f>
        <v>0</v>
      </c>
      <c r="AJ663" s="42">
        <f>SUM(AA664:AA664)</f>
        <v>0</v>
      </c>
      <c r="AK663" s="42">
        <f>SUM(AB664:AB664)</f>
        <v>0</v>
      </c>
    </row>
    <row r="664" spans="1:43" ht="12.75">
      <c r="A664" s="5" t="s">
        <v>400</v>
      </c>
      <c r="B664" s="5" t="s">
        <v>590</v>
      </c>
      <c r="C664" s="5" t="s">
        <v>635</v>
      </c>
      <c r="D664" s="5" t="s">
        <v>1008</v>
      </c>
      <c r="E664" s="5" t="s">
        <v>1493</v>
      </c>
      <c r="F664" s="22">
        <v>159.2</v>
      </c>
      <c r="G664" s="22">
        <v>0</v>
      </c>
      <c r="H664" s="22">
        <f>F664*AE664</f>
        <v>0</v>
      </c>
      <c r="I664" s="22">
        <f>J664-H664</f>
        <v>0</v>
      </c>
      <c r="J664" s="22">
        <f>F664*G664</f>
        <v>0</v>
      </c>
      <c r="K664" s="22">
        <v>0.001</v>
      </c>
      <c r="L664" s="22">
        <f>F664*K664</f>
        <v>0.15919999999999998</v>
      </c>
      <c r="M664" s="35" t="s">
        <v>1523</v>
      </c>
      <c r="N664" s="35" t="s">
        <v>9</v>
      </c>
      <c r="O664" s="22">
        <f>IF(N664="5",I664,0)</f>
        <v>0</v>
      </c>
      <c r="Z664" s="22">
        <f>IF(AD664=0,J664,0)</f>
        <v>0</v>
      </c>
      <c r="AA664" s="22">
        <f>IF(AD664=15,J664,0)</f>
        <v>0</v>
      </c>
      <c r="AB664" s="22">
        <f>IF(AD664=21,J664,0)</f>
        <v>0</v>
      </c>
      <c r="AD664" s="39">
        <v>15</v>
      </c>
      <c r="AE664" s="39">
        <f>G664*0</f>
        <v>0</v>
      </c>
      <c r="AF664" s="39">
        <f>G664*(1-0)</f>
        <v>0</v>
      </c>
      <c r="AM664" s="39">
        <f>F664*AE664</f>
        <v>0</v>
      </c>
      <c r="AN664" s="39">
        <f>F664*AF664</f>
        <v>0</v>
      </c>
      <c r="AO664" s="40" t="s">
        <v>1546</v>
      </c>
      <c r="AP664" s="40" t="s">
        <v>1600</v>
      </c>
      <c r="AQ664" s="31" t="s">
        <v>1609</v>
      </c>
    </row>
    <row r="665" ht="12.75">
      <c r="D665" s="18" t="s">
        <v>1235</v>
      </c>
    </row>
    <row r="666" spans="4:6" ht="10.5" customHeight="1">
      <c r="D666" s="17" t="s">
        <v>1193</v>
      </c>
      <c r="F666" s="23">
        <v>159.2</v>
      </c>
    </row>
    <row r="667" spans="1:37" ht="12.75">
      <c r="A667" s="4"/>
      <c r="B667" s="14" t="s">
        <v>590</v>
      </c>
      <c r="C667" s="14" t="s">
        <v>795</v>
      </c>
      <c r="D667" s="104" t="s">
        <v>1236</v>
      </c>
      <c r="E667" s="105"/>
      <c r="F667" s="105"/>
      <c r="G667" s="105"/>
      <c r="H667" s="42">
        <f>SUM(H668:H680)</f>
        <v>0</v>
      </c>
      <c r="I667" s="42">
        <f>SUM(I668:I680)</f>
        <v>0</v>
      </c>
      <c r="J667" s="42">
        <f>H667+I667</f>
        <v>0</v>
      </c>
      <c r="K667" s="31"/>
      <c r="L667" s="42">
        <f>SUM(L668:L680)</f>
        <v>5.237662</v>
      </c>
      <c r="M667" s="31"/>
      <c r="P667" s="42">
        <f>IF(Q667="PR",J667,SUM(O668:O680))</f>
        <v>0</v>
      </c>
      <c r="Q667" s="31" t="s">
        <v>1530</v>
      </c>
      <c r="R667" s="42">
        <f>IF(Q667="HS",H667,0)</f>
        <v>0</v>
      </c>
      <c r="S667" s="42">
        <f>IF(Q667="HS",I667-P667,0)</f>
        <v>0</v>
      </c>
      <c r="T667" s="42">
        <f>IF(Q667="PS",H667,0)</f>
        <v>0</v>
      </c>
      <c r="U667" s="42">
        <f>IF(Q667="PS",I667-P667,0)</f>
        <v>0</v>
      </c>
      <c r="V667" s="42">
        <f>IF(Q667="MP",H667,0)</f>
        <v>0</v>
      </c>
      <c r="W667" s="42">
        <f>IF(Q667="MP",I667-P667,0)</f>
        <v>0</v>
      </c>
      <c r="X667" s="42">
        <f>IF(Q667="OM",H667,0)</f>
        <v>0</v>
      </c>
      <c r="Y667" s="31" t="s">
        <v>590</v>
      </c>
      <c r="AI667" s="42">
        <f>SUM(Z668:Z680)</f>
        <v>0</v>
      </c>
      <c r="AJ667" s="42">
        <f>SUM(AA668:AA680)</f>
        <v>0</v>
      </c>
      <c r="AK667" s="42">
        <f>SUM(AB668:AB680)</f>
        <v>0</v>
      </c>
    </row>
    <row r="668" spans="1:43" ht="12.75">
      <c r="A668" s="5" t="s">
        <v>401</v>
      </c>
      <c r="B668" s="5" t="s">
        <v>590</v>
      </c>
      <c r="C668" s="5" t="s">
        <v>796</v>
      </c>
      <c r="D668" s="5" t="s">
        <v>1237</v>
      </c>
      <c r="E668" s="5" t="s">
        <v>1493</v>
      </c>
      <c r="F668" s="22">
        <v>60.6</v>
      </c>
      <c r="G668" s="22">
        <v>0</v>
      </c>
      <c r="H668" s="22">
        <f>F668*AE668</f>
        <v>0</v>
      </c>
      <c r="I668" s="22">
        <f>J668-H668</f>
        <v>0</v>
      </c>
      <c r="J668" s="22">
        <f>F668*G668</f>
        <v>0</v>
      </c>
      <c r="K668" s="22">
        <v>0.00495</v>
      </c>
      <c r="L668" s="22">
        <f>F668*K668</f>
        <v>0.29997</v>
      </c>
      <c r="M668" s="35" t="s">
        <v>1523</v>
      </c>
      <c r="N668" s="35" t="s">
        <v>7</v>
      </c>
      <c r="O668" s="22">
        <f>IF(N668="5",I668,0)</f>
        <v>0</v>
      </c>
      <c r="Z668" s="22">
        <f>IF(AD668=0,J668,0)</f>
        <v>0</v>
      </c>
      <c r="AA668" s="22">
        <f>IF(AD668=15,J668,0)</f>
        <v>0</v>
      </c>
      <c r="AB668" s="22">
        <f>IF(AD668=21,J668,0)</f>
        <v>0</v>
      </c>
      <c r="AD668" s="39">
        <v>15</v>
      </c>
      <c r="AE668" s="39">
        <f>G668*0.147761904761905</f>
        <v>0</v>
      </c>
      <c r="AF668" s="39">
        <f>G668*(1-0.147761904761905)</f>
        <v>0</v>
      </c>
      <c r="AM668" s="39">
        <f>F668*AE668</f>
        <v>0</v>
      </c>
      <c r="AN668" s="39">
        <f>F668*AF668</f>
        <v>0</v>
      </c>
      <c r="AO668" s="40" t="s">
        <v>1572</v>
      </c>
      <c r="AP668" s="40" t="s">
        <v>1601</v>
      </c>
      <c r="AQ668" s="31" t="s">
        <v>1609</v>
      </c>
    </row>
    <row r="669" spans="4:6" ht="10.5" customHeight="1">
      <c r="D669" s="17" t="s">
        <v>1238</v>
      </c>
      <c r="F669" s="23">
        <v>48</v>
      </c>
    </row>
    <row r="670" spans="4:6" ht="10.5" customHeight="1">
      <c r="D670" s="17" t="s">
        <v>1239</v>
      </c>
      <c r="F670" s="23">
        <v>9.9</v>
      </c>
    </row>
    <row r="671" spans="4:6" ht="10.5" customHeight="1">
      <c r="D671" s="17" t="s">
        <v>1240</v>
      </c>
      <c r="F671" s="23">
        <v>6.3</v>
      </c>
    </row>
    <row r="672" spans="4:6" ht="10.5" customHeight="1">
      <c r="D672" s="17" t="s">
        <v>1241</v>
      </c>
      <c r="F672" s="23">
        <v>-3.6</v>
      </c>
    </row>
    <row r="673" spans="1:43" ht="12.75">
      <c r="A673" s="5" t="s">
        <v>402</v>
      </c>
      <c r="B673" s="5" t="s">
        <v>590</v>
      </c>
      <c r="C673" s="5" t="s">
        <v>797</v>
      </c>
      <c r="D673" s="5" t="s">
        <v>1242</v>
      </c>
      <c r="E673" s="5" t="s">
        <v>1495</v>
      </c>
      <c r="F673" s="22">
        <v>28</v>
      </c>
      <c r="G673" s="22">
        <v>0</v>
      </c>
      <c r="H673" s="22">
        <f>F673*AE673</f>
        <v>0</v>
      </c>
      <c r="I673" s="22">
        <f>J673-H673</f>
        <v>0</v>
      </c>
      <c r="J673" s="22">
        <f>F673*G673</f>
        <v>0</v>
      </c>
      <c r="K673" s="22">
        <v>0.00013</v>
      </c>
      <c r="L673" s="22">
        <f>F673*K673</f>
        <v>0.0036399999999999996</v>
      </c>
      <c r="M673" s="35" t="s">
        <v>1523</v>
      </c>
      <c r="N673" s="35" t="s">
        <v>7</v>
      </c>
      <c r="O673" s="22">
        <f>IF(N673="5",I673,0)</f>
        <v>0</v>
      </c>
      <c r="Z673" s="22">
        <f>IF(AD673=0,J673,0)</f>
        <v>0</v>
      </c>
      <c r="AA673" s="22">
        <f>IF(AD673=15,J673,0)</f>
        <v>0</v>
      </c>
      <c r="AB673" s="22">
        <f>IF(AD673=21,J673,0)</f>
        <v>0</v>
      </c>
      <c r="AD673" s="39">
        <v>15</v>
      </c>
      <c r="AE673" s="39">
        <f>G673*0.859256637168142</f>
        <v>0</v>
      </c>
      <c r="AF673" s="39">
        <f>G673*(1-0.859256637168142)</f>
        <v>0</v>
      </c>
      <c r="AM673" s="39">
        <f>F673*AE673</f>
        <v>0</v>
      </c>
      <c r="AN673" s="39">
        <f>F673*AF673</f>
        <v>0</v>
      </c>
      <c r="AO673" s="40" t="s">
        <v>1572</v>
      </c>
      <c r="AP673" s="40" t="s">
        <v>1601</v>
      </c>
      <c r="AQ673" s="31" t="s">
        <v>1609</v>
      </c>
    </row>
    <row r="674" ht="12.75">
      <c r="D674" s="18" t="s">
        <v>1243</v>
      </c>
    </row>
    <row r="675" spans="1:43" ht="12.75">
      <c r="A675" s="5" t="s">
        <v>403</v>
      </c>
      <c r="B675" s="5" t="s">
        <v>590</v>
      </c>
      <c r="C675" s="5" t="s">
        <v>799</v>
      </c>
      <c r="D675" s="5" t="s">
        <v>1246</v>
      </c>
      <c r="E675" s="5" t="s">
        <v>1493</v>
      </c>
      <c r="F675" s="22">
        <v>60.6</v>
      </c>
      <c r="G675" s="22">
        <v>0</v>
      </c>
      <c r="H675" s="22">
        <f>F675*AE675</f>
        <v>0</v>
      </c>
      <c r="I675" s="22">
        <f>J675-H675</f>
        <v>0</v>
      </c>
      <c r="J675" s="22">
        <f>F675*G675</f>
        <v>0</v>
      </c>
      <c r="K675" s="22">
        <v>0.068</v>
      </c>
      <c r="L675" s="22">
        <f>F675*K675</f>
        <v>4.1208</v>
      </c>
      <c r="M675" s="35" t="s">
        <v>1523</v>
      </c>
      <c r="N675" s="35" t="s">
        <v>9</v>
      </c>
      <c r="O675" s="22">
        <f>IF(N675="5",I675,0)</f>
        <v>0</v>
      </c>
      <c r="Z675" s="22">
        <f>IF(AD675=0,J675,0)</f>
        <v>0</v>
      </c>
      <c r="AA675" s="22">
        <f>IF(AD675=15,J675,0)</f>
        <v>0</v>
      </c>
      <c r="AB675" s="22">
        <f>IF(AD675=21,J675,0)</f>
        <v>0</v>
      </c>
      <c r="AD675" s="39">
        <v>15</v>
      </c>
      <c r="AE675" s="39">
        <f>G675*0</f>
        <v>0</v>
      </c>
      <c r="AF675" s="39">
        <f>G675*(1-0)</f>
        <v>0</v>
      </c>
      <c r="AM675" s="39">
        <f>F675*AE675</f>
        <v>0</v>
      </c>
      <c r="AN675" s="39">
        <f>F675*AF675</f>
        <v>0</v>
      </c>
      <c r="AO675" s="40" t="s">
        <v>1572</v>
      </c>
      <c r="AP675" s="40" t="s">
        <v>1601</v>
      </c>
      <c r="AQ675" s="31" t="s">
        <v>1609</v>
      </c>
    </row>
    <row r="676" spans="4:6" ht="10.5" customHeight="1">
      <c r="D676" s="17" t="s">
        <v>1238</v>
      </c>
      <c r="F676" s="23">
        <v>48</v>
      </c>
    </row>
    <row r="677" spans="4:6" ht="10.5" customHeight="1">
      <c r="D677" s="17" t="s">
        <v>1239</v>
      </c>
      <c r="F677" s="23">
        <v>9.9</v>
      </c>
    </row>
    <row r="678" spans="4:6" ht="10.5" customHeight="1">
      <c r="D678" s="17" t="s">
        <v>1240</v>
      </c>
      <c r="F678" s="23">
        <v>6.3</v>
      </c>
    </row>
    <row r="679" spans="4:6" ht="10.5" customHeight="1">
      <c r="D679" s="17" t="s">
        <v>1247</v>
      </c>
      <c r="F679" s="23">
        <v>-3.6</v>
      </c>
    </row>
    <row r="680" spans="1:43" ht="12.75">
      <c r="A680" s="6" t="s">
        <v>404</v>
      </c>
      <c r="B680" s="6" t="s">
        <v>590</v>
      </c>
      <c r="C680" s="6" t="s">
        <v>798</v>
      </c>
      <c r="D680" s="6" t="s">
        <v>1244</v>
      </c>
      <c r="E680" s="6" t="s">
        <v>1493</v>
      </c>
      <c r="F680" s="24">
        <v>66.66</v>
      </c>
      <c r="G680" s="24">
        <v>0</v>
      </c>
      <c r="H680" s="24">
        <f>F680*AE680</f>
        <v>0</v>
      </c>
      <c r="I680" s="24">
        <f>J680-H680</f>
        <v>0</v>
      </c>
      <c r="J680" s="24">
        <f>F680*G680</f>
        <v>0</v>
      </c>
      <c r="K680" s="24">
        <v>0.0122</v>
      </c>
      <c r="L680" s="24">
        <f>F680*K680</f>
        <v>0.813252</v>
      </c>
      <c r="M680" s="36" t="s">
        <v>1523</v>
      </c>
      <c r="N680" s="36" t="s">
        <v>1526</v>
      </c>
      <c r="O680" s="24">
        <f>IF(N680="5",I680,0)</f>
        <v>0</v>
      </c>
      <c r="Z680" s="24">
        <f>IF(AD680=0,J680,0)</f>
        <v>0</v>
      </c>
      <c r="AA680" s="24">
        <f>IF(AD680=15,J680,0)</f>
        <v>0</v>
      </c>
      <c r="AB680" s="24">
        <f>IF(AD680=21,J680,0)</f>
        <v>0</v>
      </c>
      <c r="AD680" s="39">
        <v>15</v>
      </c>
      <c r="AE680" s="39">
        <f>G680*1</f>
        <v>0</v>
      </c>
      <c r="AF680" s="39">
        <f>G680*(1-1)</f>
        <v>0</v>
      </c>
      <c r="AM680" s="39">
        <f>F680*AE680</f>
        <v>0</v>
      </c>
      <c r="AN680" s="39">
        <f>F680*AF680</f>
        <v>0</v>
      </c>
      <c r="AO680" s="40" t="s">
        <v>1572</v>
      </c>
      <c r="AP680" s="40" t="s">
        <v>1601</v>
      </c>
      <c r="AQ680" s="31" t="s">
        <v>1609</v>
      </c>
    </row>
    <row r="681" spans="4:6" ht="10.5" customHeight="1">
      <c r="D681" s="17" t="s">
        <v>1245</v>
      </c>
      <c r="F681" s="23">
        <v>66.66</v>
      </c>
    </row>
    <row r="682" spans="1:37" ht="12.75">
      <c r="A682" s="4"/>
      <c r="B682" s="14" t="s">
        <v>590</v>
      </c>
      <c r="C682" s="14" t="s">
        <v>638</v>
      </c>
      <c r="D682" s="104" t="s">
        <v>1012</v>
      </c>
      <c r="E682" s="105"/>
      <c r="F682" s="105"/>
      <c r="G682" s="105"/>
      <c r="H682" s="42">
        <f>SUM(H683:H685)</f>
        <v>0</v>
      </c>
      <c r="I682" s="42">
        <f>SUM(I683:I685)</f>
        <v>0</v>
      </c>
      <c r="J682" s="42">
        <f>H682+I682</f>
        <v>0</v>
      </c>
      <c r="K682" s="31"/>
      <c r="L682" s="42">
        <f>SUM(L683:L685)</f>
        <v>0.013766200000000001</v>
      </c>
      <c r="M682" s="31"/>
      <c r="P682" s="42">
        <f>IF(Q682="PR",J682,SUM(O683:O685))</f>
        <v>0</v>
      </c>
      <c r="Q682" s="31" t="s">
        <v>1530</v>
      </c>
      <c r="R682" s="42">
        <f>IF(Q682="HS",H682,0)</f>
        <v>0</v>
      </c>
      <c r="S682" s="42">
        <f>IF(Q682="HS",I682-P682,0)</f>
        <v>0</v>
      </c>
      <c r="T682" s="42">
        <f>IF(Q682="PS",H682,0)</f>
        <v>0</v>
      </c>
      <c r="U682" s="42">
        <f>IF(Q682="PS",I682-P682,0)</f>
        <v>0</v>
      </c>
      <c r="V682" s="42">
        <f>IF(Q682="MP",H682,0)</f>
        <v>0</v>
      </c>
      <c r="W682" s="42">
        <f>IF(Q682="MP",I682-P682,0)</f>
        <v>0</v>
      </c>
      <c r="X682" s="42">
        <f>IF(Q682="OM",H682,0)</f>
        <v>0</v>
      </c>
      <c r="Y682" s="31" t="s">
        <v>590</v>
      </c>
      <c r="AI682" s="42">
        <f>SUM(Z683:Z685)</f>
        <v>0</v>
      </c>
      <c r="AJ682" s="42">
        <f>SUM(AA683:AA685)</f>
        <v>0</v>
      </c>
      <c r="AK682" s="42">
        <f>SUM(AB683:AB685)</f>
        <v>0</v>
      </c>
    </row>
    <row r="683" spans="1:43" ht="12.75">
      <c r="A683" s="5" t="s">
        <v>405</v>
      </c>
      <c r="B683" s="5" t="s">
        <v>590</v>
      </c>
      <c r="C683" s="5" t="s">
        <v>639</v>
      </c>
      <c r="D683" s="5" t="s">
        <v>1013</v>
      </c>
      <c r="E683" s="5" t="s">
        <v>1493</v>
      </c>
      <c r="F683" s="22">
        <v>376.62</v>
      </c>
      <c r="G683" s="22">
        <v>0</v>
      </c>
      <c r="H683" s="22">
        <f>F683*AE683</f>
        <v>0</v>
      </c>
      <c r="I683" s="22">
        <f>J683-H683</f>
        <v>0</v>
      </c>
      <c r="J683" s="22">
        <f>F683*G683</f>
        <v>0</v>
      </c>
      <c r="K683" s="22">
        <v>1E-05</v>
      </c>
      <c r="L683" s="22">
        <f>F683*K683</f>
        <v>0.0037662000000000004</v>
      </c>
      <c r="M683" s="35" t="s">
        <v>1523</v>
      </c>
      <c r="N683" s="35" t="s">
        <v>7</v>
      </c>
      <c r="O683" s="22">
        <f>IF(N683="5",I683,0)</f>
        <v>0</v>
      </c>
      <c r="Z683" s="22">
        <f>IF(AD683=0,J683,0)</f>
        <v>0</v>
      </c>
      <c r="AA683" s="22">
        <f>IF(AD683=15,J683,0)</f>
        <v>0</v>
      </c>
      <c r="AB683" s="22">
        <f>IF(AD683=21,J683,0)</f>
        <v>0</v>
      </c>
      <c r="AD683" s="39">
        <v>15</v>
      </c>
      <c r="AE683" s="39">
        <f>G683*0.0915384615384615</f>
        <v>0</v>
      </c>
      <c r="AF683" s="39">
        <f>G683*(1-0.0915384615384615)</f>
        <v>0</v>
      </c>
      <c r="AM683" s="39">
        <f>F683*AE683</f>
        <v>0</v>
      </c>
      <c r="AN683" s="39">
        <f>F683*AF683</f>
        <v>0</v>
      </c>
      <c r="AO683" s="40" t="s">
        <v>1548</v>
      </c>
      <c r="AP683" s="40" t="s">
        <v>1601</v>
      </c>
      <c r="AQ683" s="31" t="s">
        <v>1609</v>
      </c>
    </row>
    <row r="684" ht="12.75">
      <c r="D684" s="18" t="s">
        <v>1321</v>
      </c>
    </row>
    <row r="685" spans="1:43" ht="12.75">
      <c r="A685" s="6" t="s">
        <v>406</v>
      </c>
      <c r="B685" s="6" t="s">
        <v>590</v>
      </c>
      <c r="C685" s="6" t="s">
        <v>640</v>
      </c>
      <c r="D685" s="6" t="s">
        <v>1015</v>
      </c>
      <c r="E685" s="6" t="s">
        <v>1496</v>
      </c>
      <c r="F685" s="24">
        <v>10</v>
      </c>
      <c r="G685" s="24">
        <v>0</v>
      </c>
      <c r="H685" s="24">
        <f>F685*AE685</f>
        <v>0</v>
      </c>
      <c r="I685" s="24">
        <f>J685-H685</f>
        <v>0</v>
      </c>
      <c r="J685" s="24">
        <f>F685*G685</f>
        <v>0</v>
      </c>
      <c r="K685" s="24">
        <v>0.001</v>
      </c>
      <c r="L685" s="24">
        <f>F685*K685</f>
        <v>0.01</v>
      </c>
      <c r="M685" s="36" t="s">
        <v>1523</v>
      </c>
      <c r="N685" s="36" t="s">
        <v>1526</v>
      </c>
      <c r="O685" s="24">
        <f>IF(N685="5",I685,0)</f>
        <v>0</v>
      </c>
      <c r="Z685" s="24">
        <f>IF(AD685=0,J685,0)</f>
        <v>0</v>
      </c>
      <c r="AA685" s="24">
        <f>IF(AD685=15,J685,0)</f>
        <v>0</v>
      </c>
      <c r="AB685" s="24">
        <f>IF(AD685=21,J685,0)</f>
        <v>0</v>
      </c>
      <c r="AD685" s="39">
        <v>15</v>
      </c>
      <c r="AE685" s="39">
        <f>G685*1</f>
        <v>0</v>
      </c>
      <c r="AF685" s="39">
        <f>G685*(1-1)</f>
        <v>0</v>
      </c>
      <c r="AM685" s="39">
        <f>F685*AE685</f>
        <v>0</v>
      </c>
      <c r="AN685" s="39">
        <f>F685*AF685</f>
        <v>0</v>
      </c>
      <c r="AO685" s="40" t="s">
        <v>1548</v>
      </c>
      <c r="AP685" s="40" t="s">
        <v>1601</v>
      </c>
      <c r="AQ685" s="31" t="s">
        <v>1609</v>
      </c>
    </row>
    <row r="686" spans="1:37" ht="12.75">
      <c r="A686" s="4"/>
      <c r="B686" s="14" t="s">
        <v>590</v>
      </c>
      <c r="C686" s="14" t="s">
        <v>641</v>
      </c>
      <c r="D686" s="104" t="s">
        <v>1016</v>
      </c>
      <c r="E686" s="105"/>
      <c r="F686" s="105"/>
      <c r="G686" s="105"/>
      <c r="H686" s="42">
        <f>SUM(H687:H689)</f>
        <v>0</v>
      </c>
      <c r="I686" s="42">
        <f>SUM(I687:I689)</f>
        <v>0</v>
      </c>
      <c r="J686" s="42">
        <f>H686+I686</f>
        <v>0</v>
      </c>
      <c r="K686" s="31"/>
      <c r="L686" s="42">
        <f>SUM(L687:L689)</f>
        <v>0.2641366</v>
      </c>
      <c r="M686" s="31"/>
      <c r="P686" s="42">
        <f>IF(Q686="PR",J686,SUM(O687:O689))</f>
        <v>0</v>
      </c>
      <c r="Q686" s="31" t="s">
        <v>1530</v>
      </c>
      <c r="R686" s="42">
        <f>IF(Q686="HS",H686,0)</f>
        <v>0</v>
      </c>
      <c r="S686" s="42">
        <f>IF(Q686="HS",I686-P686,0)</f>
        <v>0</v>
      </c>
      <c r="T686" s="42">
        <f>IF(Q686="PS",H686,0)</f>
        <v>0</v>
      </c>
      <c r="U686" s="42">
        <f>IF(Q686="PS",I686-P686,0)</f>
        <v>0</v>
      </c>
      <c r="V686" s="42">
        <f>IF(Q686="MP",H686,0)</f>
        <v>0</v>
      </c>
      <c r="W686" s="42">
        <f>IF(Q686="MP",I686-P686,0)</f>
        <v>0</v>
      </c>
      <c r="X686" s="42">
        <f>IF(Q686="OM",H686,0)</f>
        <v>0</v>
      </c>
      <c r="Y686" s="31" t="s">
        <v>590</v>
      </c>
      <c r="AI686" s="42">
        <f>SUM(Z687:Z689)</f>
        <v>0</v>
      </c>
      <c r="AJ686" s="42">
        <f>SUM(AA687:AA689)</f>
        <v>0</v>
      </c>
      <c r="AK686" s="42">
        <f>SUM(AB687:AB689)</f>
        <v>0</v>
      </c>
    </row>
    <row r="687" spans="1:43" ht="12.75">
      <c r="A687" s="5" t="s">
        <v>407</v>
      </c>
      <c r="B687" s="5" t="s">
        <v>590</v>
      </c>
      <c r="C687" s="5" t="s">
        <v>642</v>
      </c>
      <c r="D687" s="5" t="s">
        <v>1017</v>
      </c>
      <c r="E687" s="5" t="s">
        <v>1493</v>
      </c>
      <c r="F687" s="22">
        <v>574.21</v>
      </c>
      <c r="G687" s="22">
        <v>0</v>
      </c>
      <c r="H687" s="22">
        <f>F687*AE687</f>
        <v>0</v>
      </c>
      <c r="I687" s="22">
        <f>J687-H687</f>
        <v>0</v>
      </c>
      <c r="J687" s="22">
        <f>F687*G687</f>
        <v>0</v>
      </c>
      <c r="K687" s="22">
        <v>0.00039</v>
      </c>
      <c r="L687" s="22">
        <f>F687*K687</f>
        <v>0.2239419</v>
      </c>
      <c r="M687" s="35" t="s">
        <v>1523</v>
      </c>
      <c r="N687" s="35" t="s">
        <v>7</v>
      </c>
      <c r="O687" s="22">
        <f>IF(N687="5",I687,0)</f>
        <v>0</v>
      </c>
      <c r="Z687" s="22">
        <f>IF(AD687=0,J687,0)</f>
        <v>0</v>
      </c>
      <c r="AA687" s="22">
        <f>IF(AD687=15,J687,0)</f>
        <v>0</v>
      </c>
      <c r="AB687" s="22">
        <f>IF(AD687=21,J687,0)</f>
        <v>0</v>
      </c>
      <c r="AD687" s="39">
        <v>15</v>
      </c>
      <c r="AE687" s="39">
        <f>G687*0.253731343283582</f>
        <v>0</v>
      </c>
      <c r="AF687" s="39">
        <f>G687*(1-0.253731343283582)</f>
        <v>0</v>
      </c>
      <c r="AM687" s="39">
        <f>F687*AE687</f>
        <v>0</v>
      </c>
      <c r="AN687" s="39">
        <f>F687*AF687</f>
        <v>0</v>
      </c>
      <c r="AO687" s="40" t="s">
        <v>1549</v>
      </c>
      <c r="AP687" s="40" t="s">
        <v>1601</v>
      </c>
      <c r="AQ687" s="31" t="s">
        <v>1609</v>
      </c>
    </row>
    <row r="688" ht="12.75">
      <c r="D688" s="18" t="s">
        <v>1249</v>
      </c>
    </row>
    <row r="689" spans="1:43" ht="12.75">
      <c r="A689" s="5" t="s">
        <v>408</v>
      </c>
      <c r="B689" s="5" t="s">
        <v>590</v>
      </c>
      <c r="C689" s="5" t="s">
        <v>643</v>
      </c>
      <c r="D689" s="5" t="s">
        <v>1322</v>
      </c>
      <c r="E689" s="5" t="s">
        <v>1493</v>
      </c>
      <c r="F689" s="22">
        <v>574.21</v>
      </c>
      <c r="G689" s="22">
        <v>0</v>
      </c>
      <c r="H689" s="22">
        <f>F689*AE689</f>
        <v>0</v>
      </c>
      <c r="I689" s="22">
        <f>J689-H689</f>
        <v>0</v>
      </c>
      <c r="J689" s="22">
        <f>F689*G689</f>
        <v>0</v>
      </c>
      <c r="K689" s="22">
        <v>7E-05</v>
      </c>
      <c r="L689" s="22">
        <f>F689*K689</f>
        <v>0.0401947</v>
      </c>
      <c r="M689" s="35" t="s">
        <v>1523</v>
      </c>
      <c r="N689" s="35" t="s">
        <v>7</v>
      </c>
      <c r="O689" s="22">
        <f>IF(N689="5",I689,0)</f>
        <v>0</v>
      </c>
      <c r="Z689" s="22">
        <f>IF(AD689=0,J689,0)</f>
        <v>0</v>
      </c>
      <c r="AA689" s="22">
        <f>IF(AD689=15,J689,0)</f>
        <v>0</v>
      </c>
      <c r="AB689" s="22">
        <f>IF(AD689=21,J689,0)</f>
        <v>0</v>
      </c>
      <c r="AD689" s="39">
        <v>15</v>
      </c>
      <c r="AE689" s="39">
        <f>G689*0.296066252587992</f>
        <v>0</v>
      </c>
      <c r="AF689" s="39">
        <f>G689*(1-0.296066252587992)</f>
        <v>0</v>
      </c>
      <c r="AM689" s="39">
        <f>F689*AE689</f>
        <v>0</v>
      </c>
      <c r="AN689" s="39">
        <f>F689*AF689</f>
        <v>0</v>
      </c>
      <c r="AO689" s="40" t="s">
        <v>1549</v>
      </c>
      <c r="AP689" s="40" t="s">
        <v>1601</v>
      </c>
      <c r="AQ689" s="31" t="s">
        <v>1609</v>
      </c>
    </row>
    <row r="690" spans="4:6" ht="10.5" customHeight="1">
      <c r="D690" s="17" t="s">
        <v>1250</v>
      </c>
      <c r="F690" s="23">
        <v>574.21</v>
      </c>
    </row>
    <row r="691" spans="1:37" ht="12.75">
      <c r="A691" s="4"/>
      <c r="B691" s="14" t="s">
        <v>590</v>
      </c>
      <c r="C691" s="14" t="s">
        <v>96</v>
      </c>
      <c r="D691" s="104" t="s">
        <v>1021</v>
      </c>
      <c r="E691" s="105"/>
      <c r="F691" s="105"/>
      <c r="G691" s="105"/>
      <c r="H691" s="42">
        <f>SUM(H692:H693)</f>
        <v>0</v>
      </c>
      <c r="I691" s="42">
        <f>SUM(I692:I693)</f>
        <v>0</v>
      </c>
      <c r="J691" s="42">
        <f>H691+I691</f>
        <v>0</v>
      </c>
      <c r="K691" s="31"/>
      <c r="L691" s="42">
        <f>SUM(L692:L693)</f>
        <v>0</v>
      </c>
      <c r="M691" s="31"/>
      <c r="P691" s="42">
        <f>IF(Q691="PR",J691,SUM(O692:O693))</f>
        <v>0</v>
      </c>
      <c r="Q691" s="31" t="s">
        <v>1529</v>
      </c>
      <c r="R691" s="42">
        <f>IF(Q691="HS",H691,0)</f>
        <v>0</v>
      </c>
      <c r="S691" s="42">
        <f>IF(Q691="HS",I691-P691,0)</f>
        <v>0</v>
      </c>
      <c r="T691" s="42">
        <f>IF(Q691="PS",H691,0)</f>
        <v>0</v>
      </c>
      <c r="U691" s="42">
        <f>IF(Q691="PS",I691-P691,0)</f>
        <v>0</v>
      </c>
      <c r="V691" s="42">
        <f>IF(Q691="MP",H691,0)</f>
        <v>0</v>
      </c>
      <c r="W691" s="42">
        <f>IF(Q691="MP",I691-P691,0)</f>
        <v>0</v>
      </c>
      <c r="X691" s="42">
        <f>IF(Q691="OM",H691,0)</f>
        <v>0</v>
      </c>
      <c r="Y691" s="31" t="s">
        <v>590</v>
      </c>
      <c r="AI691" s="42">
        <f>SUM(Z692:Z693)</f>
        <v>0</v>
      </c>
      <c r="AJ691" s="42">
        <f>SUM(AA692:AA693)</f>
        <v>0</v>
      </c>
      <c r="AK691" s="42">
        <f>SUM(AB692:AB693)</f>
        <v>0</v>
      </c>
    </row>
    <row r="692" spans="1:43" ht="12.75">
      <c r="A692" s="5" t="s">
        <v>409</v>
      </c>
      <c r="B692" s="5" t="s">
        <v>590</v>
      </c>
      <c r="C692" s="5" t="s">
        <v>644</v>
      </c>
      <c r="D692" s="5" t="s">
        <v>1251</v>
      </c>
      <c r="E692" s="5" t="s">
        <v>1497</v>
      </c>
      <c r="F692" s="22">
        <v>30</v>
      </c>
      <c r="G692" s="22">
        <v>0</v>
      </c>
      <c r="H692" s="22">
        <f>F692*AE692</f>
        <v>0</v>
      </c>
      <c r="I692" s="22">
        <f>J692-H692</f>
        <v>0</v>
      </c>
      <c r="J692" s="22">
        <f>F692*G692</f>
        <v>0</v>
      </c>
      <c r="K692" s="22">
        <v>0</v>
      </c>
      <c r="L692" s="22">
        <f>F692*K692</f>
        <v>0</v>
      </c>
      <c r="M692" s="35" t="s">
        <v>1523</v>
      </c>
      <c r="N692" s="35" t="s">
        <v>7</v>
      </c>
      <c r="O692" s="22">
        <f>IF(N692="5",I692,0)</f>
        <v>0</v>
      </c>
      <c r="Z692" s="22">
        <f>IF(AD692=0,J692,0)</f>
        <v>0</v>
      </c>
      <c r="AA692" s="22">
        <f>IF(AD692=15,J692,0)</f>
        <v>0</v>
      </c>
      <c r="AB692" s="22">
        <f>IF(AD692=21,J692,0)</f>
        <v>0</v>
      </c>
      <c r="AD692" s="39">
        <v>15</v>
      </c>
      <c r="AE692" s="39">
        <f>G692*0</f>
        <v>0</v>
      </c>
      <c r="AF692" s="39">
        <f>G692*(1-0)</f>
        <v>0</v>
      </c>
      <c r="AM692" s="39">
        <f>F692*AE692</f>
        <v>0</v>
      </c>
      <c r="AN692" s="39">
        <f>F692*AF692</f>
        <v>0</v>
      </c>
      <c r="AO692" s="40" t="s">
        <v>1550</v>
      </c>
      <c r="AP692" s="40" t="s">
        <v>1602</v>
      </c>
      <c r="AQ692" s="31" t="s">
        <v>1609</v>
      </c>
    </row>
    <row r="693" spans="1:43" ht="12.75">
      <c r="A693" s="5" t="s">
        <v>410</v>
      </c>
      <c r="B693" s="5" t="s">
        <v>590</v>
      </c>
      <c r="C693" s="5" t="s">
        <v>800</v>
      </c>
      <c r="D693" s="5" t="s">
        <v>1252</v>
      </c>
      <c r="E693" s="5" t="s">
        <v>1497</v>
      </c>
      <c r="F693" s="22">
        <v>30</v>
      </c>
      <c r="G693" s="22">
        <v>0</v>
      </c>
      <c r="H693" s="22">
        <f>F693*AE693</f>
        <v>0</v>
      </c>
      <c r="I693" s="22">
        <f>J693-H693</f>
        <v>0</v>
      </c>
      <c r="J693" s="22">
        <f>F693*G693</f>
        <v>0</v>
      </c>
      <c r="K693" s="22">
        <v>0</v>
      </c>
      <c r="L693" s="22">
        <f>F693*K693</f>
        <v>0</v>
      </c>
      <c r="M693" s="35" t="s">
        <v>1523</v>
      </c>
      <c r="N693" s="35" t="s">
        <v>7</v>
      </c>
      <c r="O693" s="22">
        <f>IF(N693="5",I693,0)</f>
        <v>0</v>
      </c>
      <c r="Z693" s="22">
        <f>IF(AD693=0,J693,0)</f>
        <v>0</v>
      </c>
      <c r="AA693" s="22">
        <f>IF(AD693=15,J693,0)</f>
        <v>0</v>
      </c>
      <c r="AB693" s="22">
        <f>IF(AD693=21,J693,0)</f>
        <v>0</v>
      </c>
      <c r="AD693" s="39">
        <v>15</v>
      </c>
      <c r="AE693" s="39">
        <f>G693*0</f>
        <v>0</v>
      </c>
      <c r="AF693" s="39">
        <f>G693*(1-0)</f>
        <v>0</v>
      </c>
      <c r="AM693" s="39">
        <f>F693*AE693</f>
        <v>0</v>
      </c>
      <c r="AN693" s="39">
        <f>F693*AF693</f>
        <v>0</v>
      </c>
      <c r="AO693" s="40" t="s">
        <v>1550</v>
      </c>
      <c r="AP693" s="40" t="s">
        <v>1602</v>
      </c>
      <c r="AQ693" s="31" t="s">
        <v>1609</v>
      </c>
    </row>
    <row r="694" ht="12.75">
      <c r="D694" s="18" t="s">
        <v>1253</v>
      </c>
    </row>
    <row r="695" spans="1:37" ht="12.75">
      <c r="A695" s="4"/>
      <c r="B695" s="14" t="s">
        <v>590</v>
      </c>
      <c r="C695" s="14" t="s">
        <v>100</v>
      </c>
      <c r="D695" s="104" t="s">
        <v>1024</v>
      </c>
      <c r="E695" s="105"/>
      <c r="F695" s="105"/>
      <c r="G695" s="105"/>
      <c r="H695" s="42">
        <f>SUM(H696:H696)</f>
        <v>0</v>
      </c>
      <c r="I695" s="42">
        <f>SUM(I696:I696)</f>
        <v>0</v>
      </c>
      <c r="J695" s="42">
        <f>H695+I695</f>
        <v>0</v>
      </c>
      <c r="K695" s="31"/>
      <c r="L695" s="42">
        <f>SUM(L696:L696)</f>
        <v>0.2991098</v>
      </c>
      <c r="M695" s="31"/>
      <c r="P695" s="42">
        <f>IF(Q695="PR",J695,SUM(O696:O696))</f>
        <v>0</v>
      </c>
      <c r="Q695" s="31" t="s">
        <v>1529</v>
      </c>
      <c r="R695" s="42">
        <f>IF(Q695="HS",H695,0)</f>
        <v>0</v>
      </c>
      <c r="S695" s="42">
        <f>IF(Q695="HS",I695-P695,0)</f>
        <v>0</v>
      </c>
      <c r="T695" s="42">
        <f>IF(Q695="PS",H695,0)</f>
        <v>0</v>
      </c>
      <c r="U695" s="42">
        <f>IF(Q695="PS",I695-P695,0)</f>
        <v>0</v>
      </c>
      <c r="V695" s="42">
        <f>IF(Q695="MP",H695,0)</f>
        <v>0</v>
      </c>
      <c r="W695" s="42">
        <f>IF(Q695="MP",I695-P695,0)</f>
        <v>0</v>
      </c>
      <c r="X695" s="42">
        <f>IF(Q695="OM",H695,0)</f>
        <v>0</v>
      </c>
      <c r="Y695" s="31" t="s">
        <v>590</v>
      </c>
      <c r="AI695" s="42">
        <f>SUM(Z696:Z696)</f>
        <v>0</v>
      </c>
      <c r="AJ695" s="42">
        <f>SUM(AA696:AA696)</f>
        <v>0</v>
      </c>
      <c r="AK695" s="42">
        <f>SUM(AB696:AB696)</f>
        <v>0</v>
      </c>
    </row>
    <row r="696" spans="1:43" ht="12.75">
      <c r="A696" s="5" t="s">
        <v>411</v>
      </c>
      <c r="B696" s="5" t="s">
        <v>590</v>
      </c>
      <c r="C696" s="5" t="s">
        <v>645</v>
      </c>
      <c r="D696" s="5" t="s">
        <v>1025</v>
      </c>
      <c r="E696" s="5" t="s">
        <v>1493</v>
      </c>
      <c r="F696" s="22">
        <v>189.31</v>
      </c>
      <c r="G696" s="22">
        <v>0</v>
      </c>
      <c r="H696" s="22">
        <f>F696*AE696</f>
        <v>0</v>
      </c>
      <c r="I696" s="22">
        <f>J696-H696</f>
        <v>0</v>
      </c>
      <c r="J696" s="22">
        <f>F696*G696</f>
        <v>0</v>
      </c>
      <c r="K696" s="22">
        <v>0.00158</v>
      </c>
      <c r="L696" s="22">
        <f>F696*K696</f>
        <v>0.2991098</v>
      </c>
      <c r="M696" s="35" t="s">
        <v>1523</v>
      </c>
      <c r="N696" s="35" t="s">
        <v>7</v>
      </c>
      <c r="O696" s="22">
        <f>IF(N696="5",I696,0)</f>
        <v>0</v>
      </c>
      <c r="Z696" s="22">
        <f>IF(AD696=0,J696,0)</f>
        <v>0</v>
      </c>
      <c r="AA696" s="22">
        <f>IF(AD696=15,J696,0)</f>
        <v>0</v>
      </c>
      <c r="AB696" s="22">
        <f>IF(AD696=21,J696,0)</f>
        <v>0</v>
      </c>
      <c r="AD696" s="39">
        <v>15</v>
      </c>
      <c r="AE696" s="39">
        <f>G696*0.455303820267324</f>
        <v>0</v>
      </c>
      <c r="AF696" s="39">
        <f>G696*(1-0.455303820267324)</f>
        <v>0</v>
      </c>
      <c r="AM696" s="39">
        <f>F696*AE696</f>
        <v>0</v>
      </c>
      <c r="AN696" s="39">
        <f>F696*AF696</f>
        <v>0</v>
      </c>
      <c r="AO696" s="40" t="s">
        <v>1551</v>
      </c>
      <c r="AP696" s="40" t="s">
        <v>1602</v>
      </c>
      <c r="AQ696" s="31" t="s">
        <v>1609</v>
      </c>
    </row>
    <row r="697" spans="4:6" ht="10.5" customHeight="1">
      <c r="D697" s="17" t="s">
        <v>1100</v>
      </c>
      <c r="F697" s="23">
        <v>189.31</v>
      </c>
    </row>
    <row r="698" spans="1:37" ht="12.75">
      <c r="A698" s="4"/>
      <c r="B698" s="14" t="s">
        <v>590</v>
      </c>
      <c r="C698" s="14" t="s">
        <v>101</v>
      </c>
      <c r="D698" s="104" t="s">
        <v>1027</v>
      </c>
      <c r="E698" s="105"/>
      <c r="F698" s="105"/>
      <c r="G698" s="105"/>
      <c r="H698" s="42">
        <f>SUM(H699:H699)</f>
        <v>0</v>
      </c>
      <c r="I698" s="42">
        <f>SUM(I699:I699)</f>
        <v>0</v>
      </c>
      <c r="J698" s="42">
        <f>H698+I698</f>
        <v>0</v>
      </c>
      <c r="K698" s="31"/>
      <c r="L698" s="42">
        <f>SUM(L699:L699)</f>
        <v>0.007572400000000001</v>
      </c>
      <c r="M698" s="31"/>
      <c r="P698" s="42">
        <f>IF(Q698="PR",J698,SUM(O699:O699))</f>
        <v>0</v>
      </c>
      <c r="Q698" s="31" t="s">
        <v>1529</v>
      </c>
      <c r="R698" s="42">
        <f>IF(Q698="HS",H698,0)</f>
        <v>0</v>
      </c>
      <c r="S698" s="42">
        <f>IF(Q698="HS",I698-P698,0)</f>
        <v>0</v>
      </c>
      <c r="T698" s="42">
        <f>IF(Q698="PS",H698,0)</f>
        <v>0</v>
      </c>
      <c r="U698" s="42">
        <f>IF(Q698="PS",I698-P698,0)</f>
        <v>0</v>
      </c>
      <c r="V698" s="42">
        <f>IF(Q698="MP",H698,0)</f>
        <v>0</v>
      </c>
      <c r="W698" s="42">
        <f>IF(Q698="MP",I698-P698,0)</f>
        <v>0</v>
      </c>
      <c r="X698" s="42">
        <f>IF(Q698="OM",H698,0)</f>
        <v>0</v>
      </c>
      <c r="Y698" s="31" t="s">
        <v>590</v>
      </c>
      <c r="AI698" s="42">
        <f>SUM(Z699:Z699)</f>
        <v>0</v>
      </c>
      <c r="AJ698" s="42">
        <f>SUM(AA699:AA699)</f>
        <v>0</v>
      </c>
      <c r="AK698" s="42">
        <f>SUM(AB699:AB699)</f>
        <v>0</v>
      </c>
    </row>
    <row r="699" spans="1:43" ht="12.75">
      <c r="A699" s="5" t="s">
        <v>412</v>
      </c>
      <c r="B699" s="5" t="s">
        <v>590</v>
      </c>
      <c r="C699" s="5" t="s">
        <v>646</v>
      </c>
      <c r="D699" s="5" t="s">
        <v>1028</v>
      </c>
      <c r="E699" s="5" t="s">
        <v>1493</v>
      </c>
      <c r="F699" s="22">
        <v>189.31</v>
      </c>
      <c r="G699" s="22">
        <v>0</v>
      </c>
      <c r="H699" s="22">
        <f>F699*AE699</f>
        <v>0</v>
      </c>
      <c r="I699" s="22">
        <f>J699-H699</f>
        <v>0</v>
      </c>
      <c r="J699" s="22">
        <f>F699*G699</f>
        <v>0</v>
      </c>
      <c r="K699" s="22">
        <v>4E-05</v>
      </c>
      <c r="L699" s="22">
        <f>F699*K699</f>
        <v>0.007572400000000001</v>
      </c>
      <c r="M699" s="35" t="s">
        <v>1523</v>
      </c>
      <c r="N699" s="35" t="s">
        <v>7</v>
      </c>
      <c r="O699" s="22">
        <f>IF(N699="5",I699,0)</f>
        <v>0</v>
      </c>
      <c r="Z699" s="22">
        <f>IF(AD699=0,J699,0)</f>
        <v>0</v>
      </c>
      <c r="AA699" s="22">
        <f>IF(AD699=15,J699,0)</f>
        <v>0</v>
      </c>
      <c r="AB699" s="22">
        <f>IF(AD699=21,J699,0)</f>
        <v>0</v>
      </c>
      <c r="AD699" s="39">
        <v>15</v>
      </c>
      <c r="AE699" s="39">
        <f>G699*0.0183098591549296</f>
        <v>0</v>
      </c>
      <c r="AF699" s="39">
        <f>G699*(1-0.0183098591549296)</f>
        <v>0</v>
      </c>
      <c r="AM699" s="39">
        <f>F699*AE699</f>
        <v>0</v>
      </c>
      <c r="AN699" s="39">
        <f>F699*AF699</f>
        <v>0</v>
      </c>
      <c r="AO699" s="40" t="s">
        <v>1552</v>
      </c>
      <c r="AP699" s="40" t="s">
        <v>1602</v>
      </c>
      <c r="AQ699" s="31" t="s">
        <v>1609</v>
      </c>
    </row>
    <row r="700" spans="4:6" ht="10.5" customHeight="1">
      <c r="D700" s="17" t="s">
        <v>1100</v>
      </c>
      <c r="F700" s="23">
        <v>189.31</v>
      </c>
    </row>
    <row r="701" spans="1:37" ht="12.75">
      <c r="A701" s="4"/>
      <c r="B701" s="14" t="s">
        <v>590</v>
      </c>
      <c r="C701" s="14" t="s">
        <v>102</v>
      </c>
      <c r="D701" s="104" t="s">
        <v>1254</v>
      </c>
      <c r="E701" s="105"/>
      <c r="F701" s="105"/>
      <c r="G701" s="105"/>
      <c r="H701" s="42">
        <f>SUM(H702:H719)</f>
        <v>0</v>
      </c>
      <c r="I701" s="42">
        <f>SUM(I702:I719)</f>
        <v>0</v>
      </c>
      <c r="J701" s="42">
        <f>H701+I701</f>
        <v>0</v>
      </c>
      <c r="K701" s="31"/>
      <c r="L701" s="42">
        <f>SUM(L702:L719)</f>
        <v>6.5618246000000005</v>
      </c>
      <c r="M701" s="31"/>
      <c r="P701" s="42">
        <f>IF(Q701="PR",J701,SUM(O702:O719))</f>
        <v>0</v>
      </c>
      <c r="Q701" s="31" t="s">
        <v>1529</v>
      </c>
      <c r="R701" s="42">
        <f>IF(Q701="HS",H701,0)</f>
        <v>0</v>
      </c>
      <c r="S701" s="42">
        <f>IF(Q701="HS",I701-P701,0)</f>
        <v>0</v>
      </c>
      <c r="T701" s="42">
        <f>IF(Q701="PS",H701,0)</f>
        <v>0</v>
      </c>
      <c r="U701" s="42">
        <f>IF(Q701="PS",I701-P701,0)</f>
        <v>0</v>
      </c>
      <c r="V701" s="42">
        <f>IF(Q701="MP",H701,0)</f>
        <v>0</v>
      </c>
      <c r="W701" s="42">
        <f>IF(Q701="MP",I701-P701,0)</f>
        <v>0</v>
      </c>
      <c r="X701" s="42">
        <f>IF(Q701="OM",H701,0)</f>
        <v>0</v>
      </c>
      <c r="Y701" s="31" t="s">
        <v>590</v>
      </c>
      <c r="AI701" s="42">
        <f>SUM(Z702:Z719)</f>
        <v>0</v>
      </c>
      <c r="AJ701" s="42">
        <f>SUM(AA702:AA719)</f>
        <v>0</v>
      </c>
      <c r="AK701" s="42">
        <f>SUM(AB702:AB719)</f>
        <v>0</v>
      </c>
    </row>
    <row r="702" spans="1:43" ht="12.75">
      <c r="A702" s="5" t="s">
        <v>413</v>
      </c>
      <c r="B702" s="5" t="s">
        <v>590</v>
      </c>
      <c r="C702" s="5" t="s">
        <v>801</v>
      </c>
      <c r="D702" s="5" t="s">
        <v>1255</v>
      </c>
      <c r="E702" s="5" t="s">
        <v>1494</v>
      </c>
      <c r="F702" s="22">
        <v>24</v>
      </c>
      <c r="G702" s="22">
        <v>0</v>
      </c>
      <c r="H702" s="22">
        <f>F702*AE702</f>
        <v>0</v>
      </c>
      <c r="I702" s="22">
        <f>J702-H702</f>
        <v>0</v>
      </c>
      <c r="J702" s="22">
        <f>F702*G702</f>
        <v>0</v>
      </c>
      <c r="K702" s="22">
        <v>0</v>
      </c>
      <c r="L702" s="22">
        <f>F702*K702</f>
        <v>0</v>
      </c>
      <c r="M702" s="35" t="s">
        <v>1523</v>
      </c>
      <c r="N702" s="35" t="s">
        <v>7</v>
      </c>
      <c r="O702" s="22">
        <f>IF(N702="5",I702,0)</f>
        <v>0</v>
      </c>
      <c r="Z702" s="22">
        <f>IF(AD702=0,J702,0)</f>
        <v>0</v>
      </c>
      <c r="AA702" s="22">
        <f>IF(AD702=15,J702,0)</f>
        <v>0</v>
      </c>
      <c r="AB702" s="22">
        <f>IF(AD702=21,J702,0)</f>
        <v>0</v>
      </c>
      <c r="AD702" s="39">
        <v>15</v>
      </c>
      <c r="AE702" s="39">
        <f>G702*0</f>
        <v>0</v>
      </c>
      <c r="AF702" s="39">
        <f>G702*(1-0)</f>
        <v>0</v>
      </c>
      <c r="AM702" s="39">
        <f>F702*AE702</f>
        <v>0</v>
      </c>
      <c r="AN702" s="39">
        <f>F702*AF702</f>
        <v>0</v>
      </c>
      <c r="AO702" s="40" t="s">
        <v>1573</v>
      </c>
      <c r="AP702" s="40" t="s">
        <v>1602</v>
      </c>
      <c r="AQ702" s="31" t="s">
        <v>1609</v>
      </c>
    </row>
    <row r="703" spans="1:43" ht="12.75">
      <c r="A703" s="5" t="s">
        <v>414</v>
      </c>
      <c r="B703" s="5" t="s">
        <v>590</v>
      </c>
      <c r="C703" s="5" t="s">
        <v>802</v>
      </c>
      <c r="D703" s="5" t="s">
        <v>1256</v>
      </c>
      <c r="E703" s="5" t="s">
        <v>1493</v>
      </c>
      <c r="F703" s="22">
        <v>8.28</v>
      </c>
      <c r="G703" s="22">
        <v>0</v>
      </c>
      <c r="H703" s="22">
        <f>F703*AE703</f>
        <v>0</v>
      </c>
      <c r="I703" s="22">
        <f>J703-H703</f>
        <v>0</v>
      </c>
      <c r="J703" s="22">
        <f>F703*G703</f>
        <v>0</v>
      </c>
      <c r="K703" s="22">
        <v>0.11367</v>
      </c>
      <c r="L703" s="22">
        <f>F703*K703</f>
        <v>0.9411875999999999</v>
      </c>
      <c r="M703" s="35" t="s">
        <v>1523</v>
      </c>
      <c r="N703" s="35" t="s">
        <v>9</v>
      </c>
      <c r="O703" s="22">
        <f>IF(N703="5",I703,0)</f>
        <v>0</v>
      </c>
      <c r="Z703" s="22">
        <f>IF(AD703=0,J703,0)</f>
        <v>0</v>
      </c>
      <c r="AA703" s="22">
        <f>IF(AD703=15,J703,0)</f>
        <v>0</v>
      </c>
      <c r="AB703" s="22">
        <f>IF(AD703=21,J703,0)</f>
        <v>0</v>
      </c>
      <c r="AD703" s="39">
        <v>15</v>
      </c>
      <c r="AE703" s="39">
        <f>G703*0.087032967032967</f>
        <v>0</v>
      </c>
      <c r="AF703" s="39">
        <f>G703*(1-0.087032967032967)</f>
        <v>0</v>
      </c>
      <c r="AM703" s="39">
        <f>F703*AE703</f>
        <v>0</v>
      </c>
      <c r="AN703" s="39">
        <f>F703*AF703</f>
        <v>0</v>
      </c>
      <c r="AO703" s="40" t="s">
        <v>1573</v>
      </c>
      <c r="AP703" s="40" t="s">
        <v>1602</v>
      </c>
      <c r="AQ703" s="31" t="s">
        <v>1609</v>
      </c>
    </row>
    <row r="704" ht="12.75">
      <c r="D704" s="18" t="s">
        <v>1257</v>
      </c>
    </row>
    <row r="705" spans="4:6" ht="10.5" customHeight="1">
      <c r="D705" s="17" t="s">
        <v>1258</v>
      </c>
      <c r="F705" s="23">
        <v>9.36</v>
      </c>
    </row>
    <row r="706" spans="4:6" ht="10.5" customHeight="1">
      <c r="D706" s="17" t="s">
        <v>1259</v>
      </c>
      <c r="F706" s="23">
        <v>-1.08</v>
      </c>
    </row>
    <row r="707" spans="1:43" ht="12.75">
      <c r="A707" s="5" t="s">
        <v>415</v>
      </c>
      <c r="B707" s="5" t="s">
        <v>590</v>
      </c>
      <c r="C707" s="5" t="s">
        <v>803</v>
      </c>
      <c r="D707" s="5" t="s">
        <v>1260</v>
      </c>
      <c r="E707" s="5" t="s">
        <v>1493</v>
      </c>
      <c r="F707" s="22">
        <v>28.7</v>
      </c>
      <c r="G707" s="22">
        <v>0</v>
      </c>
      <c r="H707" s="22">
        <f>F707*AE707</f>
        <v>0</v>
      </c>
      <c r="I707" s="22">
        <f>J707-H707</f>
        <v>0</v>
      </c>
      <c r="J707" s="22">
        <f>F707*G707</f>
        <v>0</v>
      </c>
      <c r="K707" s="22">
        <v>0.07717</v>
      </c>
      <c r="L707" s="22">
        <f>F707*K707</f>
        <v>2.214779</v>
      </c>
      <c r="M707" s="35" t="s">
        <v>1523</v>
      </c>
      <c r="N707" s="35" t="s">
        <v>7</v>
      </c>
      <c r="O707" s="22">
        <f>IF(N707="5",I707,0)</f>
        <v>0</v>
      </c>
      <c r="Z707" s="22">
        <f>IF(AD707=0,J707,0)</f>
        <v>0</v>
      </c>
      <c r="AA707" s="22">
        <f>IF(AD707=15,J707,0)</f>
        <v>0</v>
      </c>
      <c r="AB707" s="22">
        <f>IF(AD707=21,J707,0)</f>
        <v>0</v>
      </c>
      <c r="AD707" s="39">
        <v>15</v>
      </c>
      <c r="AE707" s="39">
        <f>G707*0.105094339622642</f>
        <v>0</v>
      </c>
      <c r="AF707" s="39">
        <f>G707*(1-0.105094339622642)</f>
        <v>0</v>
      </c>
      <c r="AM707" s="39">
        <f>F707*AE707</f>
        <v>0</v>
      </c>
      <c r="AN707" s="39">
        <f>F707*AF707</f>
        <v>0</v>
      </c>
      <c r="AO707" s="40" t="s">
        <v>1573</v>
      </c>
      <c r="AP707" s="40" t="s">
        <v>1602</v>
      </c>
      <c r="AQ707" s="31" t="s">
        <v>1609</v>
      </c>
    </row>
    <row r="708" ht="12.75">
      <c r="D708" s="18" t="s">
        <v>1261</v>
      </c>
    </row>
    <row r="709" spans="1:43" ht="12.75">
      <c r="A709" s="5" t="s">
        <v>416</v>
      </c>
      <c r="B709" s="5" t="s">
        <v>590</v>
      </c>
      <c r="C709" s="5" t="s">
        <v>804</v>
      </c>
      <c r="D709" s="5" t="s">
        <v>1262</v>
      </c>
      <c r="E709" s="5" t="s">
        <v>1495</v>
      </c>
      <c r="F709" s="22">
        <v>30</v>
      </c>
      <c r="G709" s="22">
        <v>0</v>
      </c>
      <c r="H709" s="22">
        <f>F709*AE709</f>
        <v>0</v>
      </c>
      <c r="I709" s="22">
        <f>J709-H709</f>
        <v>0</v>
      </c>
      <c r="J709" s="22">
        <f>F709*G709</f>
        <v>0</v>
      </c>
      <c r="K709" s="22">
        <v>0.03738</v>
      </c>
      <c r="L709" s="22">
        <f>F709*K709</f>
        <v>1.1214</v>
      </c>
      <c r="M709" s="35" t="s">
        <v>1523</v>
      </c>
      <c r="N709" s="35" t="s">
        <v>7</v>
      </c>
      <c r="O709" s="22">
        <f>IF(N709="5",I709,0)</f>
        <v>0</v>
      </c>
      <c r="Z709" s="22">
        <f>IF(AD709=0,J709,0)</f>
        <v>0</v>
      </c>
      <c r="AA709" s="22">
        <f>IF(AD709=15,J709,0)</f>
        <v>0</v>
      </c>
      <c r="AB709" s="22">
        <f>IF(AD709=21,J709,0)</f>
        <v>0</v>
      </c>
      <c r="AD709" s="39">
        <v>15</v>
      </c>
      <c r="AE709" s="39">
        <f>G709*0.226237623762376</f>
        <v>0</v>
      </c>
      <c r="AF709" s="39">
        <f>G709*(1-0.226237623762376)</f>
        <v>0</v>
      </c>
      <c r="AM709" s="39">
        <f>F709*AE709</f>
        <v>0</v>
      </c>
      <c r="AN709" s="39">
        <f>F709*AF709</f>
        <v>0</v>
      </c>
      <c r="AO709" s="40" t="s">
        <v>1573</v>
      </c>
      <c r="AP709" s="40" t="s">
        <v>1602</v>
      </c>
      <c r="AQ709" s="31" t="s">
        <v>1609</v>
      </c>
    </row>
    <row r="710" spans="1:43" ht="12.75">
      <c r="A710" s="5" t="s">
        <v>417</v>
      </c>
      <c r="B710" s="5" t="s">
        <v>590</v>
      </c>
      <c r="C710" s="5" t="s">
        <v>805</v>
      </c>
      <c r="D710" s="5" t="s">
        <v>1263</v>
      </c>
      <c r="E710" s="5" t="s">
        <v>1495</v>
      </c>
      <c r="F710" s="22">
        <v>18</v>
      </c>
      <c r="G710" s="22">
        <v>0</v>
      </c>
      <c r="H710" s="22">
        <f>F710*AE710</f>
        <v>0</v>
      </c>
      <c r="I710" s="22">
        <f>J710-H710</f>
        <v>0</v>
      </c>
      <c r="J710" s="22">
        <f>F710*G710</f>
        <v>0</v>
      </c>
      <c r="K710" s="22">
        <v>0.03759</v>
      </c>
      <c r="L710" s="22">
        <f>F710*K710</f>
        <v>0.67662</v>
      </c>
      <c r="M710" s="35" t="s">
        <v>1523</v>
      </c>
      <c r="N710" s="35" t="s">
        <v>7</v>
      </c>
      <c r="O710" s="22">
        <f>IF(N710="5",I710,0)</f>
        <v>0</v>
      </c>
      <c r="Z710" s="22">
        <f>IF(AD710=0,J710,0)</f>
        <v>0</v>
      </c>
      <c r="AA710" s="22">
        <f>IF(AD710=15,J710,0)</f>
        <v>0</v>
      </c>
      <c r="AB710" s="22">
        <f>IF(AD710=21,J710,0)</f>
        <v>0</v>
      </c>
      <c r="AD710" s="39">
        <v>15</v>
      </c>
      <c r="AE710" s="39">
        <f>G710*0.110555555555556</f>
        <v>0</v>
      </c>
      <c r="AF710" s="39">
        <f>G710*(1-0.110555555555556)</f>
        <v>0</v>
      </c>
      <c r="AM710" s="39">
        <f>F710*AE710</f>
        <v>0</v>
      </c>
      <c r="AN710" s="39">
        <f>F710*AF710</f>
        <v>0</v>
      </c>
      <c r="AO710" s="40" t="s">
        <v>1573</v>
      </c>
      <c r="AP710" s="40" t="s">
        <v>1602</v>
      </c>
      <c r="AQ710" s="31" t="s">
        <v>1609</v>
      </c>
    </row>
    <row r="711" spans="1:43" ht="12.75">
      <c r="A711" s="5" t="s">
        <v>418</v>
      </c>
      <c r="B711" s="5" t="s">
        <v>590</v>
      </c>
      <c r="C711" s="5" t="s">
        <v>806</v>
      </c>
      <c r="D711" s="5" t="s">
        <v>1264</v>
      </c>
      <c r="E711" s="5" t="s">
        <v>1493</v>
      </c>
      <c r="F711" s="22">
        <v>11.07</v>
      </c>
      <c r="G711" s="22">
        <v>0</v>
      </c>
      <c r="H711" s="22">
        <f>F711*AE711</f>
        <v>0</v>
      </c>
      <c r="I711" s="22">
        <f>J711-H711</f>
        <v>0</v>
      </c>
      <c r="J711" s="22">
        <f>F711*G711</f>
        <v>0</v>
      </c>
      <c r="K711" s="22">
        <v>0.065</v>
      </c>
      <c r="L711" s="22">
        <f>F711*K711</f>
        <v>0.71955</v>
      </c>
      <c r="M711" s="35" t="s">
        <v>1523</v>
      </c>
      <c r="N711" s="35" t="s">
        <v>9</v>
      </c>
      <c r="O711" s="22">
        <f>IF(N711="5",I711,0)</f>
        <v>0</v>
      </c>
      <c r="Z711" s="22">
        <f>IF(AD711=0,J711,0)</f>
        <v>0</v>
      </c>
      <c r="AA711" s="22">
        <f>IF(AD711=15,J711,0)</f>
        <v>0</v>
      </c>
      <c r="AB711" s="22">
        <f>IF(AD711=21,J711,0)</f>
        <v>0</v>
      </c>
      <c r="AD711" s="39">
        <v>15</v>
      </c>
      <c r="AE711" s="39">
        <f>G711*0</f>
        <v>0</v>
      </c>
      <c r="AF711" s="39">
        <f>G711*(1-0)</f>
        <v>0</v>
      </c>
      <c r="AM711" s="39">
        <f>F711*AE711</f>
        <v>0</v>
      </c>
      <c r="AN711" s="39">
        <f>F711*AF711</f>
        <v>0</v>
      </c>
      <c r="AO711" s="40" t="s">
        <v>1573</v>
      </c>
      <c r="AP711" s="40" t="s">
        <v>1602</v>
      </c>
      <c r="AQ711" s="31" t="s">
        <v>1609</v>
      </c>
    </row>
    <row r="712" spans="4:6" ht="10.5" customHeight="1">
      <c r="D712" s="17" t="s">
        <v>1265</v>
      </c>
      <c r="F712" s="23">
        <v>7.29</v>
      </c>
    </row>
    <row r="713" spans="4:6" ht="10.5" customHeight="1">
      <c r="D713" s="17" t="s">
        <v>1266</v>
      </c>
      <c r="F713" s="23">
        <v>3.78</v>
      </c>
    </row>
    <row r="714" spans="1:43" ht="12.75">
      <c r="A714" s="5" t="s">
        <v>419</v>
      </c>
      <c r="B714" s="5" t="s">
        <v>590</v>
      </c>
      <c r="C714" s="5" t="s">
        <v>803</v>
      </c>
      <c r="D714" s="5" t="s">
        <v>1260</v>
      </c>
      <c r="E714" s="5" t="s">
        <v>1493</v>
      </c>
      <c r="F714" s="22">
        <v>5.4</v>
      </c>
      <c r="G714" s="22">
        <v>0</v>
      </c>
      <c r="H714" s="22">
        <f>F714*AE714</f>
        <v>0</v>
      </c>
      <c r="I714" s="22">
        <f>J714-H714</f>
        <v>0</v>
      </c>
      <c r="J714" s="22">
        <f>F714*G714</f>
        <v>0</v>
      </c>
      <c r="K714" s="22">
        <v>0.07717</v>
      </c>
      <c r="L714" s="22">
        <f>F714*K714</f>
        <v>0.41671800000000003</v>
      </c>
      <c r="M714" s="35" t="s">
        <v>1523</v>
      </c>
      <c r="N714" s="35" t="s">
        <v>7</v>
      </c>
      <c r="O714" s="22">
        <f>IF(N714="5",I714,0)</f>
        <v>0</v>
      </c>
      <c r="Z714" s="22">
        <f>IF(AD714=0,J714,0)</f>
        <v>0</v>
      </c>
      <c r="AA714" s="22">
        <f>IF(AD714=15,J714,0)</f>
        <v>0</v>
      </c>
      <c r="AB714" s="22">
        <f>IF(AD714=21,J714,0)</f>
        <v>0</v>
      </c>
      <c r="AD714" s="39">
        <v>15</v>
      </c>
      <c r="AE714" s="39">
        <f>G714*0.105094339622642</f>
        <v>0</v>
      </c>
      <c r="AF714" s="39">
        <f>G714*(1-0.105094339622642)</f>
        <v>0</v>
      </c>
      <c r="AM714" s="39">
        <f>F714*AE714</f>
        <v>0</v>
      </c>
      <c r="AN714" s="39">
        <f>F714*AF714</f>
        <v>0</v>
      </c>
      <c r="AO714" s="40" t="s">
        <v>1573</v>
      </c>
      <c r="AP714" s="40" t="s">
        <v>1602</v>
      </c>
      <c r="AQ714" s="31" t="s">
        <v>1609</v>
      </c>
    </row>
    <row r="715" ht="12.75">
      <c r="D715" s="18" t="s">
        <v>1268</v>
      </c>
    </row>
    <row r="716" spans="1:43" ht="12.75">
      <c r="A716" s="5" t="s">
        <v>420</v>
      </c>
      <c r="B716" s="5" t="s">
        <v>590</v>
      </c>
      <c r="C716" s="5" t="s">
        <v>806</v>
      </c>
      <c r="D716" s="5" t="s">
        <v>1264</v>
      </c>
      <c r="E716" s="5" t="s">
        <v>1493</v>
      </c>
      <c r="F716" s="22">
        <v>6.54</v>
      </c>
      <c r="G716" s="22">
        <v>0</v>
      </c>
      <c r="H716" s="22">
        <f>F716*AE716</f>
        <v>0</v>
      </c>
      <c r="I716" s="22">
        <f>J716-H716</f>
        <v>0</v>
      </c>
      <c r="J716" s="22">
        <f>F716*G716</f>
        <v>0</v>
      </c>
      <c r="K716" s="22">
        <v>0.065</v>
      </c>
      <c r="L716" s="22">
        <f>F716*K716</f>
        <v>0.42510000000000003</v>
      </c>
      <c r="M716" s="35" t="s">
        <v>1523</v>
      </c>
      <c r="N716" s="35" t="s">
        <v>9</v>
      </c>
      <c r="O716" s="22">
        <f>IF(N716="5",I716,0)</f>
        <v>0</v>
      </c>
      <c r="Z716" s="22">
        <f>IF(AD716=0,J716,0)</f>
        <v>0</v>
      </c>
      <c r="AA716" s="22">
        <f>IF(AD716=15,J716,0)</f>
        <v>0</v>
      </c>
      <c r="AB716" s="22">
        <f>IF(AD716=21,J716,0)</f>
        <v>0</v>
      </c>
      <c r="AD716" s="39">
        <v>15</v>
      </c>
      <c r="AE716" s="39">
        <f>G716*0</f>
        <v>0</v>
      </c>
      <c r="AF716" s="39">
        <f>G716*(1-0)</f>
        <v>0</v>
      </c>
      <c r="AM716" s="39">
        <f>F716*AE716</f>
        <v>0</v>
      </c>
      <c r="AN716" s="39">
        <f>F716*AF716</f>
        <v>0</v>
      </c>
      <c r="AO716" s="40" t="s">
        <v>1573</v>
      </c>
      <c r="AP716" s="40" t="s">
        <v>1602</v>
      </c>
      <c r="AQ716" s="31" t="s">
        <v>1609</v>
      </c>
    </row>
    <row r="717" ht="12.75">
      <c r="D717" s="18" t="s">
        <v>1096</v>
      </c>
    </row>
    <row r="718" spans="1:43" ht="12.75">
      <c r="A718" s="5" t="s">
        <v>421</v>
      </c>
      <c r="B718" s="5" t="s">
        <v>590</v>
      </c>
      <c r="C718" s="5" t="s">
        <v>807</v>
      </c>
      <c r="D718" s="5" t="s">
        <v>1267</v>
      </c>
      <c r="E718" s="5" t="s">
        <v>1494</v>
      </c>
      <c r="F718" s="22">
        <v>3</v>
      </c>
      <c r="G718" s="22">
        <v>0</v>
      </c>
      <c r="H718" s="22">
        <f>F718*AE718</f>
        <v>0</v>
      </c>
      <c r="I718" s="22">
        <f>J718-H718</f>
        <v>0</v>
      </c>
      <c r="J718" s="22">
        <f>F718*G718</f>
        <v>0</v>
      </c>
      <c r="K718" s="22">
        <v>0.01549</v>
      </c>
      <c r="L718" s="22">
        <f>F718*K718</f>
        <v>0.04647</v>
      </c>
      <c r="M718" s="35" t="s">
        <v>1523</v>
      </c>
      <c r="N718" s="35" t="s">
        <v>7</v>
      </c>
      <c r="O718" s="22">
        <f>IF(N718="5",I718,0)</f>
        <v>0</v>
      </c>
      <c r="Z718" s="22">
        <f>IF(AD718=0,J718,0)</f>
        <v>0</v>
      </c>
      <c r="AA718" s="22">
        <f>IF(AD718=15,J718,0)</f>
        <v>0</v>
      </c>
      <c r="AB718" s="22">
        <f>IF(AD718=21,J718,0)</f>
        <v>0</v>
      </c>
      <c r="AD718" s="39">
        <v>15</v>
      </c>
      <c r="AE718" s="39">
        <f>G718*0</f>
        <v>0</v>
      </c>
      <c r="AF718" s="39">
        <f>G718*(1-0)</f>
        <v>0</v>
      </c>
      <c r="AM718" s="39">
        <f>F718*AE718</f>
        <v>0</v>
      </c>
      <c r="AN718" s="39">
        <f>F718*AF718</f>
        <v>0</v>
      </c>
      <c r="AO718" s="40" t="s">
        <v>1573</v>
      </c>
      <c r="AP718" s="40" t="s">
        <v>1602</v>
      </c>
      <c r="AQ718" s="31" t="s">
        <v>1609</v>
      </c>
    </row>
    <row r="719" spans="1:43" ht="12.75">
      <c r="A719" s="5" t="s">
        <v>422</v>
      </c>
      <c r="B719" s="5" t="s">
        <v>590</v>
      </c>
      <c r="C719" s="5" t="s">
        <v>855</v>
      </c>
      <c r="D719" s="5" t="s">
        <v>1323</v>
      </c>
      <c r="E719" s="5" t="s">
        <v>1495</v>
      </c>
      <c r="F719" s="22">
        <v>0</v>
      </c>
      <c r="G719" s="22">
        <v>0</v>
      </c>
      <c r="H719" s="22">
        <f>F719*AE719</f>
        <v>0</v>
      </c>
      <c r="I719" s="22">
        <f>J719-H719</f>
        <v>0</v>
      </c>
      <c r="J719" s="22">
        <f>F719*G719</f>
        <v>0</v>
      </c>
      <c r="K719" s="22">
        <v>0.05893</v>
      </c>
      <c r="L719" s="22">
        <f>F719*K719</f>
        <v>0</v>
      </c>
      <c r="M719" s="35" t="s">
        <v>1523</v>
      </c>
      <c r="N719" s="35" t="s">
        <v>7</v>
      </c>
      <c r="O719" s="22">
        <f>IF(N719="5",I719,0)</f>
        <v>0</v>
      </c>
      <c r="Z719" s="22">
        <f>IF(AD719=0,J719,0)</f>
        <v>0</v>
      </c>
      <c r="AA719" s="22">
        <f>IF(AD719=15,J719,0)</f>
        <v>0</v>
      </c>
      <c r="AB719" s="22">
        <f>IF(AD719=21,J719,0)</f>
        <v>0</v>
      </c>
      <c r="AD719" s="39">
        <v>15</v>
      </c>
      <c r="AE719" s="39">
        <f>G719*0</f>
        <v>0</v>
      </c>
      <c r="AF719" s="39">
        <f>G719*(1-0)</f>
        <v>0</v>
      </c>
      <c r="AM719" s="39">
        <f>F719*AE719</f>
        <v>0</v>
      </c>
      <c r="AN719" s="39">
        <f>F719*AF719</f>
        <v>0</v>
      </c>
      <c r="AO719" s="40" t="s">
        <v>1573</v>
      </c>
      <c r="AP719" s="40" t="s">
        <v>1602</v>
      </c>
      <c r="AQ719" s="31" t="s">
        <v>1609</v>
      </c>
    </row>
    <row r="720" spans="1:37" ht="12.75">
      <c r="A720" s="4"/>
      <c r="B720" s="14" t="s">
        <v>590</v>
      </c>
      <c r="C720" s="14" t="s">
        <v>103</v>
      </c>
      <c r="D720" s="104" t="s">
        <v>1269</v>
      </c>
      <c r="E720" s="105"/>
      <c r="F720" s="105"/>
      <c r="G720" s="105"/>
      <c r="H720" s="42">
        <f>SUM(H721:H722)</f>
        <v>0</v>
      </c>
      <c r="I720" s="42">
        <f>SUM(I721:I722)</f>
        <v>0</v>
      </c>
      <c r="J720" s="42">
        <f>H720+I720</f>
        <v>0</v>
      </c>
      <c r="K720" s="31"/>
      <c r="L720" s="42">
        <f>SUM(L721:L722)</f>
        <v>0.38546</v>
      </c>
      <c r="M720" s="31"/>
      <c r="P720" s="42">
        <f>IF(Q720="PR",J720,SUM(O721:O722))</f>
        <v>0</v>
      </c>
      <c r="Q720" s="31" t="s">
        <v>1529</v>
      </c>
      <c r="R720" s="42">
        <f>IF(Q720="HS",H720,0)</f>
        <v>0</v>
      </c>
      <c r="S720" s="42">
        <f>IF(Q720="HS",I720-P720,0)</f>
        <v>0</v>
      </c>
      <c r="T720" s="42">
        <f>IF(Q720="PS",H720,0)</f>
        <v>0</v>
      </c>
      <c r="U720" s="42">
        <f>IF(Q720="PS",I720-P720,0)</f>
        <v>0</v>
      </c>
      <c r="V720" s="42">
        <f>IF(Q720="MP",H720,0)</f>
        <v>0</v>
      </c>
      <c r="W720" s="42">
        <f>IF(Q720="MP",I720-P720,0)</f>
        <v>0</v>
      </c>
      <c r="X720" s="42">
        <f>IF(Q720="OM",H720,0)</f>
        <v>0</v>
      </c>
      <c r="Y720" s="31" t="s">
        <v>590</v>
      </c>
      <c r="AI720" s="42">
        <f>SUM(Z721:Z722)</f>
        <v>0</v>
      </c>
      <c r="AJ720" s="42">
        <f>SUM(AA721:AA722)</f>
        <v>0</v>
      </c>
      <c r="AK720" s="42">
        <f>SUM(AB721:AB722)</f>
        <v>0</v>
      </c>
    </row>
    <row r="721" spans="1:43" ht="12.75">
      <c r="A721" s="5" t="s">
        <v>423</v>
      </c>
      <c r="B721" s="5" t="s">
        <v>590</v>
      </c>
      <c r="C721" s="5" t="s">
        <v>808</v>
      </c>
      <c r="D721" s="5" t="s">
        <v>1270</v>
      </c>
      <c r="E721" s="5" t="s">
        <v>1495</v>
      </c>
      <c r="F721" s="22">
        <v>150</v>
      </c>
      <c r="G721" s="22">
        <v>0</v>
      </c>
      <c r="H721" s="22">
        <f>F721*AE721</f>
        <v>0</v>
      </c>
      <c r="I721" s="22">
        <f>J721-H721</f>
        <v>0</v>
      </c>
      <c r="J721" s="22">
        <f>F721*G721</f>
        <v>0</v>
      </c>
      <c r="K721" s="22">
        <v>0.00249</v>
      </c>
      <c r="L721" s="22">
        <f>F721*K721</f>
        <v>0.3735</v>
      </c>
      <c r="M721" s="35" t="s">
        <v>1523</v>
      </c>
      <c r="N721" s="35" t="s">
        <v>7</v>
      </c>
      <c r="O721" s="22">
        <f>IF(N721="5",I721,0)</f>
        <v>0</v>
      </c>
      <c r="Z721" s="22">
        <f>IF(AD721=0,J721,0)</f>
        <v>0</v>
      </c>
      <c r="AA721" s="22">
        <f>IF(AD721=15,J721,0)</f>
        <v>0</v>
      </c>
      <c r="AB721" s="22">
        <f>IF(AD721=21,J721,0)</f>
        <v>0</v>
      </c>
      <c r="AD721" s="39">
        <v>15</v>
      </c>
      <c r="AE721" s="39">
        <f>G721*0.110889963036679</f>
        <v>0</v>
      </c>
      <c r="AF721" s="39">
        <f>G721*(1-0.110889963036679)</f>
        <v>0</v>
      </c>
      <c r="AM721" s="39">
        <f>F721*AE721</f>
        <v>0</v>
      </c>
      <c r="AN721" s="39">
        <f>F721*AF721</f>
        <v>0</v>
      </c>
      <c r="AO721" s="40" t="s">
        <v>1574</v>
      </c>
      <c r="AP721" s="40" t="s">
        <v>1602</v>
      </c>
      <c r="AQ721" s="31" t="s">
        <v>1609</v>
      </c>
    </row>
    <row r="722" spans="1:43" ht="12.75">
      <c r="A722" s="5" t="s">
        <v>424</v>
      </c>
      <c r="B722" s="5" t="s">
        <v>590</v>
      </c>
      <c r="C722" s="5" t="s">
        <v>809</v>
      </c>
      <c r="D722" s="5" t="s">
        <v>1271</v>
      </c>
      <c r="E722" s="5" t="s">
        <v>1495</v>
      </c>
      <c r="F722" s="22">
        <v>26</v>
      </c>
      <c r="G722" s="22">
        <v>0</v>
      </c>
      <c r="H722" s="22">
        <f>F722*AE722</f>
        <v>0</v>
      </c>
      <c r="I722" s="22">
        <f>J722-H722</f>
        <v>0</v>
      </c>
      <c r="J722" s="22">
        <f>F722*G722</f>
        <v>0</v>
      </c>
      <c r="K722" s="22">
        <v>0.00046</v>
      </c>
      <c r="L722" s="22">
        <f>F722*K722</f>
        <v>0.01196</v>
      </c>
      <c r="M722" s="35" t="s">
        <v>1523</v>
      </c>
      <c r="N722" s="35" t="s">
        <v>7</v>
      </c>
      <c r="O722" s="22">
        <f>IF(N722="5",I722,0)</f>
        <v>0</v>
      </c>
      <c r="Z722" s="22">
        <f>IF(AD722=0,J722,0)</f>
        <v>0</v>
      </c>
      <c r="AA722" s="22">
        <f>IF(AD722=15,J722,0)</f>
        <v>0</v>
      </c>
      <c r="AB722" s="22">
        <f>IF(AD722=21,J722,0)</f>
        <v>0</v>
      </c>
      <c r="AD722" s="39">
        <v>15</v>
      </c>
      <c r="AE722" s="39">
        <f>G722*0.19059453259415</f>
        <v>0</v>
      </c>
      <c r="AF722" s="39">
        <f>G722*(1-0.19059453259415)</f>
        <v>0</v>
      </c>
      <c r="AM722" s="39">
        <f>F722*AE722</f>
        <v>0</v>
      </c>
      <c r="AN722" s="39">
        <f>F722*AF722</f>
        <v>0</v>
      </c>
      <c r="AO722" s="40" t="s">
        <v>1574</v>
      </c>
      <c r="AP722" s="40" t="s">
        <v>1602</v>
      </c>
      <c r="AQ722" s="31" t="s">
        <v>1609</v>
      </c>
    </row>
    <row r="723" ht="12.75">
      <c r="D723" s="18" t="s">
        <v>1272</v>
      </c>
    </row>
    <row r="724" spans="1:37" ht="12.75">
      <c r="A724" s="4"/>
      <c r="B724" s="14" t="s">
        <v>590</v>
      </c>
      <c r="C724" s="14" t="s">
        <v>647</v>
      </c>
      <c r="D724" s="104" t="s">
        <v>1029</v>
      </c>
      <c r="E724" s="105"/>
      <c r="F724" s="105"/>
      <c r="G724" s="105"/>
      <c r="H724" s="42">
        <f>SUM(H725:H725)</f>
        <v>0</v>
      </c>
      <c r="I724" s="42">
        <f>SUM(I725:I725)</f>
        <v>0</v>
      </c>
      <c r="J724" s="42">
        <f>H724+I724</f>
        <v>0</v>
      </c>
      <c r="K724" s="31"/>
      <c r="L724" s="42">
        <f>SUM(L725:L725)</f>
        <v>0</v>
      </c>
      <c r="M724" s="31"/>
      <c r="P724" s="42">
        <f>IF(Q724="PR",J724,SUM(O725:O725))</f>
        <v>0</v>
      </c>
      <c r="Q724" s="31" t="s">
        <v>1529</v>
      </c>
      <c r="R724" s="42">
        <f>IF(Q724="HS",H724,0)</f>
        <v>0</v>
      </c>
      <c r="S724" s="42">
        <f>IF(Q724="HS",I724-P724,0)</f>
        <v>0</v>
      </c>
      <c r="T724" s="42">
        <f>IF(Q724="PS",H724,0)</f>
        <v>0</v>
      </c>
      <c r="U724" s="42">
        <f>IF(Q724="PS",I724-P724,0)</f>
        <v>0</v>
      </c>
      <c r="V724" s="42">
        <f>IF(Q724="MP",H724,0)</f>
        <v>0</v>
      </c>
      <c r="W724" s="42">
        <f>IF(Q724="MP",I724-P724,0)</f>
        <v>0</v>
      </c>
      <c r="X724" s="42">
        <f>IF(Q724="OM",H724,0)</f>
        <v>0</v>
      </c>
      <c r="Y724" s="31" t="s">
        <v>590</v>
      </c>
      <c r="AI724" s="42">
        <f>SUM(Z725:Z725)</f>
        <v>0</v>
      </c>
      <c r="AJ724" s="42">
        <f>SUM(AA725:AA725)</f>
        <v>0</v>
      </c>
      <c r="AK724" s="42">
        <f>SUM(AB725:AB725)</f>
        <v>0</v>
      </c>
    </row>
    <row r="725" spans="1:43" ht="12.75">
      <c r="A725" s="5" t="s">
        <v>425</v>
      </c>
      <c r="B725" s="5" t="s">
        <v>590</v>
      </c>
      <c r="C725" s="5" t="s">
        <v>810</v>
      </c>
      <c r="D725" s="5" t="s">
        <v>1273</v>
      </c>
      <c r="E725" s="5" t="s">
        <v>1498</v>
      </c>
      <c r="F725" s="22">
        <v>15.01</v>
      </c>
      <c r="G725" s="22">
        <v>0</v>
      </c>
      <c r="H725" s="22">
        <f>F725*AE725</f>
        <v>0</v>
      </c>
      <c r="I725" s="22">
        <f>J725-H725</f>
        <v>0</v>
      </c>
      <c r="J725" s="22">
        <f>F725*G725</f>
        <v>0</v>
      </c>
      <c r="K725" s="22">
        <v>0</v>
      </c>
      <c r="L725" s="22">
        <f>F725*K725</f>
        <v>0</v>
      </c>
      <c r="M725" s="35" t="s">
        <v>1523</v>
      </c>
      <c r="N725" s="35" t="s">
        <v>11</v>
      </c>
      <c r="O725" s="22">
        <f>IF(N725="5",I725,0)</f>
        <v>0</v>
      </c>
      <c r="Z725" s="22">
        <f>IF(AD725=0,J725,0)</f>
        <v>0</v>
      </c>
      <c r="AA725" s="22">
        <f>IF(AD725=15,J725,0)</f>
        <v>0</v>
      </c>
      <c r="AB725" s="22">
        <f>IF(AD725=21,J725,0)</f>
        <v>0</v>
      </c>
      <c r="AD725" s="39">
        <v>15</v>
      </c>
      <c r="AE725" s="39">
        <f>G725*0</f>
        <v>0</v>
      </c>
      <c r="AF725" s="39">
        <f>G725*(1-0)</f>
        <v>0</v>
      </c>
      <c r="AM725" s="39">
        <f>F725*AE725</f>
        <v>0</v>
      </c>
      <c r="AN725" s="39">
        <f>F725*AF725</f>
        <v>0</v>
      </c>
      <c r="AO725" s="40" t="s">
        <v>1553</v>
      </c>
      <c r="AP725" s="40" t="s">
        <v>1602</v>
      </c>
      <c r="AQ725" s="31" t="s">
        <v>1609</v>
      </c>
    </row>
    <row r="726" spans="1:37" ht="12.75">
      <c r="A726" s="4"/>
      <c r="B726" s="14" t="s">
        <v>590</v>
      </c>
      <c r="C726" s="14" t="s">
        <v>811</v>
      </c>
      <c r="D726" s="104" t="s">
        <v>1091</v>
      </c>
      <c r="E726" s="105"/>
      <c r="F726" s="105"/>
      <c r="G726" s="105"/>
      <c r="H726" s="42">
        <f>SUM(H727:H727)</f>
        <v>0</v>
      </c>
      <c r="I726" s="42">
        <f>SUM(I727:I727)</f>
        <v>0</v>
      </c>
      <c r="J726" s="42">
        <f>H726+I726</f>
        <v>0</v>
      </c>
      <c r="K726" s="31"/>
      <c r="L726" s="42">
        <f>SUM(L727:L727)</f>
        <v>0</v>
      </c>
      <c r="M726" s="31"/>
      <c r="P726" s="42">
        <f>IF(Q726="PR",J726,SUM(O727:O727))</f>
        <v>0</v>
      </c>
      <c r="Q726" s="31" t="s">
        <v>1529</v>
      </c>
      <c r="R726" s="42">
        <f>IF(Q726="HS",H726,0)</f>
        <v>0</v>
      </c>
      <c r="S726" s="42">
        <f>IF(Q726="HS",I726-P726,0)</f>
        <v>0</v>
      </c>
      <c r="T726" s="42">
        <f>IF(Q726="PS",H726,0)</f>
        <v>0</v>
      </c>
      <c r="U726" s="42">
        <f>IF(Q726="PS",I726-P726,0)</f>
        <v>0</v>
      </c>
      <c r="V726" s="42">
        <f>IF(Q726="MP",H726,0)</f>
        <v>0</v>
      </c>
      <c r="W726" s="42">
        <f>IF(Q726="MP",I726-P726,0)</f>
        <v>0</v>
      </c>
      <c r="X726" s="42">
        <f>IF(Q726="OM",H726,0)</f>
        <v>0</v>
      </c>
      <c r="Y726" s="31" t="s">
        <v>590</v>
      </c>
      <c r="AI726" s="42">
        <f>SUM(Z727:Z727)</f>
        <v>0</v>
      </c>
      <c r="AJ726" s="42">
        <f>SUM(AA727:AA727)</f>
        <v>0</v>
      </c>
      <c r="AK726" s="42">
        <f>SUM(AB727:AB727)</f>
        <v>0</v>
      </c>
    </row>
    <row r="727" spans="1:43" ht="12.75">
      <c r="A727" s="5" t="s">
        <v>426</v>
      </c>
      <c r="B727" s="5" t="s">
        <v>590</v>
      </c>
      <c r="C727" s="5" t="s">
        <v>812</v>
      </c>
      <c r="D727" s="5" t="s">
        <v>1274</v>
      </c>
      <c r="E727" s="5" t="s">
        <v>1499</v>
      </c>
      <c r="F727" s="22">
        <v>1</v>
      </c>
      <c r="G727" s="22">
        <v>0</v>
      </c>
      <c r="H727" s="22">
        <f>F727*AE727</f>
        <v>0</v>
      </c>
      <c r="I727" s="22">
        <f>J727-H727</f>
        <v>0</v>
      </c>
      <c r="J727" s="22">
        <f>F727*G727</f>
        <v>0</v>
      </c>
      <c r="K727" s="22">
        <v>0</v>
      </c>
      <c r="L727" s="22">
        <f>F727*K727</f>
        <v>0</v>
      </c>
      <c r="M727" s="35" t="s">
        <v>1523</v>
      </c>
      <c r="N727" s="35" t="s">
        <v>11</v>
      </c>
      <c r="O727" s="22">
        <f>IF(N727="5",I727,0)</f>
        <v>0</v>
      </c>
      <c r="Z727" s="22">
        <f>IF(AD727=0,J727,0)</f>
        <v>0</v>
      </c>
      <c r="AA727" s="22">
        <f>IF(AD727=15,J727,0)</f>
        <v>0</v>
      </c>
      <c r="AB727" s="22">
        <f>IF(AD727=21,J727,0)</f>
        <v>0</v>
      </c>
      <c r="AD727" s="39">
        <v>15</v>
      </c>
      <c r="AE727" s="39">
        <f>G727*0</f>
        <v>0</v>
      </c>
      <c r="AF727" s="39">
        <f>G727*(1-0)</f>
        <v>0</v>
      </c>
      <c r="AM727" s="39">
        <f>F727*AE727</f>
        <v>0</v>
      </c>
      <c r="AN727" s="39">
        <f>F727*AF727</f>
        <v>0</v>
      </c>
      <c r="AO727" s="40" t="s">
        <v>1575</v>
      </c>
      <c r="AP727" s="40" t="s">
        <v>1602</v>
      </c>
      <c r="AQ727" s="31" t="s">
        <v>1609</v>
      </c>
    </row>
    <row r="728" spans="1:37" ht="12.75">
      <c r="A728" s="4"/>
      <c r="B728" s="14" t="s">
        <v>590</v>
      </c>
      <c r="C728" s="14" t="s">
        <v>813</v>
      </c>
      <c r="D728" s="104" t="s">
        <v>978</v>
      </c>
      <c r="E728" s="105"/>
      <c r="F728" s="105"/>
      <c r="G728" s="105"/>
      <c r="H728" s="42">
        <f>SUM(H729:H729)</f>
        <v>0</v>
      </c>
      <c r="I728" s="42">
        <f>SUM(I729:I729)</f>
        <v>0</v>
      </c>
      <c r="J728" s="42">
        <f>H728+I728</f>
        <v>0</v>
      </c>
      <c r="K728" s="31"/>
      <c r="L728" s="42">
        <f>SUM(L729:L729)</f>
        <v>0</v>
      </c>
      <c r="M728" s="31"/>
      <c r="P728" s="42">
        <f>IF(Q728="PR",J728,SUM(O729:O729))</f>
        <v>0</v>
      </c>
      <c r="Q728" s="31" t="s">
        <v>1529</v>
      </c>
      <c r="R728" s="42">
        <f>IF(Q728="HS",H728,0)</f>
        <v>0</v>
      </c>
      <c r="S728" s="42">
        <f>IF(Q728="HS",I728-P728,0)</f>
        <v>0</v>
      </c>
      <c r="T728" s="42">
        <f>IF(Q728="PS",H728,0)</f>
        <v>0</v>
      </c>
      <c r="U728" s="42">
        <f>IF(Q728="PS",I728-P728,0)</f>
        <v>0</v>
      </c>
      <c r="V728" s="42">
        <f>IF(Q728="MP",H728,0)</f>
        <v>0</v>
      </c>
      <c r="W728" s="42">
        <f>IF(Q728="MP",I728-P728,0)</f>
        <v>0</v>
      </c>
      <c r="X728" s="42">
        <f>IF(Q728="OM",H728,0)</f>
        <v>0</v>
      </c>
      <c r="Y728" s="31" t="s">
        <v>590</v>
      </c>
      <c r="AI728" s="42">
        <f>SUM(Z729:Z729)</f>
        <v>0</v>
      </c>
      <c r="AJ728" s="42">
        <f>SUM(AA729:AA729)</f>
        <v>0</v>
      </c>
      <c r="AK728" s="42">
        <f>SUM(AB729:AB729)</f>
        <v>0</v>
      </c>
    </row>
    <row r="729" spans="1:43" ht="12.75">
      <c r="A729" s="5" t="s">
        <v>427</v>
      </c>
      <c r="B729" s="5" t="s">
        <v>590</v>
      </c>
      <c r="C729" s="5" t="s">
        <v>814</v>
      </c>
      <c r="D729" s="5" t="s">
        <v>1275</v>
      </c>
      <c r="E729" s="5" t="s">
        <v>1499</v>
      </c>
      <c r="F729" s="22">
        <v>1</v>
      </c>
      <c r="G729" s="22">
        <v>0</v>
      </c>
      <c r="H729" s="22">
        <f>F729*AE729</f>
        <v>0</v>
      </c>
      <c r="I729" s="22">
        <f>J729-H729</f>
        <v>0</v>
      </c>
      <c r="J729" s="22">
        <f>F729*G729</f>
        <v>0</v>
      </c>
      <c r="K729" s="22">
        <v>0</v>
      </c>
      <c r="L729" s="22">
        <f>F729*K729</f>
        <v>0</v>
      </c>
      <c r="M729" s="35" t="s">
        <v>1523</v>
      </c>
      <c r="N729" s="35" t="s">
        <v>11</v>
      </c>
      <c r="O729" s="22">
        <f>IF(N729="5",I729,0)</f>
        <v>0</v>
      </c>
      <c r="Z729" s="22">
        <f>IF(AD729=0,J729,0)</f>
        <v>0</v>
      </c>
      <c r="AA729" s="22">
        <f>IF(AD729=15,J729,0)</f>
        <v>0</v>
      </c>
      <c r="AB729" s="22">
        <f>IF(AD729=21,J729,0)</f>
        <v>0</v>
      </c>
      <c r="AD729" s="39">
        <v>15</v>
      </c>
      <c r="AE729" s="39">
        <f>G729*0</f>
        <v>0</v>
      </c>
      <c r="AF729" s="39">
        <f>G729*(1-0)</f>
        <v>0</v>
      </c>
      <c r="AM729" s="39">
        <f>F729*AE729</f>
        <v>0</v>
      </c>
      <c r="AN729" s="39">
        <f>F729*AF729</f>
        <v>0</v>
      </c>
      <c r="AO729" s="40" t="s">
        <v>1576</v>
      </c>
      <c r="AP729" s="40" t="s">
        <v>1602</v>
      </c>
      <c r="AQ729" s="31" t="s">
        <v>1609</v>
      </c>
    </row>
    <row r="730" spans="1:37" ht="12.75">
      <c r="A730" s="4"/>
      <c r="B730" s="14" t="s">
        <v>590</v>
      </c>
      <c r="C730" s="14" t="s">
        <v>815</v>
      </c>
      <c r="D730" s="104" t="s">
        <v>1276</v>
      </c>
      <c r="E730" s="105"/>
      <c r="F730" s="105"/>
      <c r="G730" s="105"/>
      <c r="H730" s="42">
        <f>SUM(H731:H731)</f>
        <v>0</v>
      </c>
      <c r="I730" s="42">
        <f>SUM(I731:I731)</f>
        <v>0</v>
      </c>
      <c r="J730" s="42">
        <f>H730+I730</f>
        <v>0</v>
      </c>
      <c r="K730" s="31"/>
      <c r="L730" s="42">
        <f>SUM(L731:L731)</f>
        <v>0</v>
      </c>
      <c r="M730" s="31"/>
      <c r="P730" s="42">
        <f>IF(Q730="PR",J730,SUM(O731:O731))</f>
        <v>0</v>
      </c>
      <c r="Q730" s="31" t="s">
        <v>1529</v>
      </c>
      <c r="R730" s="42">
        <f>IF(Q730="HS",H730,0)</f>
        <v>0</v>
      </c>
      <c r="S730" s="42">
        <f>IF(Q730="HS",I730-P730,0)</f>
        <v>0</v>
      </c>
      <c r="T730" s="42">
        <f>IF(Q730="PS",H730,0)</f>
        <v>0</v>
      </c>
      <c r="U730" s="42">
        <f>IF(Q730="PS",I730-P730,0)</f>
        <v>0</v>
      </c>
      <c r="V730" s="42">
        <f>IF(Q730="MP",H730,0)</f>
        <v>0</v>
      </c>
      <c r="W730" s="42">
        <f>IF(Q730="MP",I730-P730,0)</f>
        <v>0</v>
      </c>
      <c r="X730" s="42">
        <f>IF(Q730="OM",H730,0)</f>
        <v>0</v>
      </c>
      <c r="Y730" s="31" t="s">
        <v>590</v>
      </c>
      <c r="AI730" s="42">
        <f>SUM(Z731:Z731)</f>
        <v>0</v>
      </c>
      <c r="AJ730" s="42">
        <f>SUM(AA731:AA731)</f>
        <v>0</v>
      </c>
      <c r="AK730" s="42">
        <f>SUM(AB731:AB731)</f>
        <v>0</v>
      </c>
    </row>
    <row r="731" spans="1:43" ht="12.75">
      <c r="A731" s="5" t="s">
        <v>428</v>
      </c>
      <c r="B731" s="5" t="s">
        <v>590</v>
      </c>
      <c r="C731" s="5" t="s">
        <v>816</v>
      </c>
      <c r="D731" s="5" t="s">
        <v>1277</v>
      </c>
      <c r="E731" s="5" t="s">
        <v>1499</v>
      </c>
      <c r="F731" s="22">
        <v>1</v>
      </c>
      <c r="G731" s="22">
        <v>0</v>
      </c>
      <c r="H731" s="22">
        <f>F731*AE731</f>
        <v>0</v>
      </c>
      <c r="I731" s="22">
        <f>J731-H731</f>
        <v>0</v>
      </c>
      <c r="J731" s="22">
        <f>F731*G731</f>
        <v>0</v>
      </c>
      <c r="K731" s="22">
        <v>0</v>
      </c>
      <c r="L731" s="22">
        <f>F731*K731</f>
        <v>0</v>
      </c>
      <c r="M731" s="35" t="s">
        <v>1523</v>
      </c>
      <c r="N731" s="35" t="s">
        <v>11</v>
      </c>
      <c r="O731" s="22">
        <f>IF(N731="5",I731,0)</f>
        <v>0</v>
      </c>
      <c r="Z731" s="22">
        <f>IF(AD731=0,J731,0)</f>
        <v>0</v>
      </c>
      <c r="AA731" s="22">
        <f>IF(AD731=15,J731,0)</f>
        <v>0</v>
      </c>
      <c r="AB731" s="22">
        <f>IF(AD731=21,J731,0)</f>
        <v>0</v>
      </c>
      <c r="AD731" s="39">
        <v>15</v>
      </c>
      <c r="AE731" s="39">
        <f>G731*0</f>
        <v>0</v>
      </c>
      <c r="AF731" s="39">
        <f>G731*(1-0)</f>
        <v>0</v>
      </c>
      <c r="AM731" s="39">
        <f>F731*AE731</f>
        <v>0</v>
      </c>
      <c r="AN731" s="39">
        <f>F731*AF731</f>
        <v>0</v>
      </c>
      <c r="AO731" s="40" t="s">
        <v>1577</v>
      </c>
      <c r="AP731" s="40" t="s">
        <v>1602</v>
      </c>
      <c r="AQ731" s="31" t="s">
        <v>1609</v>
      </c>
    </row>
    <row r="732" spans="1:37" ht="12.75">
      <c r="A732" s="4"/>
      <c r="B732" s="14" t="s">
        <v>590</v>
      </c>
      <c r="C732" s="14" t="s">
        <v>817</v>
      </c>
      <c r="D732" s="104" t="s">
        <v>1103</v>
      </c>
      <c r="E732" s="105"/>
      <c r="F732" s="105"/>
      <c r="G732" s="105"/>
      <c r="H732" s="42">
        <f>SUM(H733:H733)</f>
        <v>0</v>
      </c>
      <c r="I732" s="42">
        <f>SUM(I733:I733)</f>
        <v>0</v>
      </c>
      <c r="J732" s="42">
        <f>H732+I732</f>
        <v>0</v>
      </c>
      <c r="K732" s="31"/>
      <c r="L732" s="42">
        <f>SUM(L733:L733)</f>
        <v>0</v>
      </c>
      <c r="M732" s="31"/>
      <c r="P732" s="42">
        <f>IF(Q732="PR",J732,SUM(O733:O733))</f>
        <v>0</v>
      </c>
      <c r="Q732" s="31" t="s">
        <v>1529</v>
      </c>
      <c r="R732" s="42">
        <f>IF(Q732="HS",H732,0)</f>
        <v>0</v>
      </c>
      <c r="S732" s="42">
        <f>IF(Q732="HS",I732-P732,0)</f>
        <v>0</v>
      </c>
      <c r="T732" s="42">
        <f>IF(Q732="PS",H732,0)</f>
        <v>0</v>
      </c>
      <c r="U732" s="42">
        <f>IF(Q732="PS",I732-P732,0)</f>
        <v>0</v>
      </c>
      <c r="V732" s="42">
        <f>IF(Q732="MP",H732,0)</f>
        <v>0</v>
      </c>
      <c r="W732" s="42">
        <f>IF(Q732="MP",I732-P732,0)</f>
        <v>0</v>
      </c>
      <c r="X732" s="42">
        <f>IF(Q732="OM",H732,0)</f>
        <v>0</v>
      </c>
      <c r="Y732" s="31" t="s">
        <v>590</v>
      </c>
      <c r="AI732" s="42">
        <f>SUM(Z733:Z733)</f>
        <v>0</v>
      </c>
      <c r="AJ732" s="42">
        <f>SUM(AA733:AA733)</f>
        <v>0</v>
      </c>
      <c r="AK732" s="42">
        <f>SUM(AB733:AB733)</f>
        <v>0</v>
      </c>
    </row>
    <row r="733" spans="1:43" ht="12.75">
      <c r="A733" s="5" t="s">
        <v>429</v>
      </c>
      <c r="B733" s="5" t="s">
        <v>590</v>
      </c>
      <c r="C733" s="5" t="s">
        <v>818</v>
      </c>
      <c r="D733" s="5" t="s">
        <v>1278</v>
      </c>
      <c r="E733" s="5" t="s">
        <v>1499</v>
      </c>
      <c r="F733" s="22">
        <v>1</v>
      </c>
      <c r="G733" s="22">
        <v>0</v>
      </c>
      <c r="H733" s="22">
        <f>F733*AE733</f>
        <v>0</v>
      </c>
      <c r="I733" s="22">
        <f>J733-H733</f>
        <v>0</v>
      </c>
      <c r="J733" s="22">
        <f>F733*G733</f>
        <v>0</v>
      </c>
      <c r="K733" s="22">
        <v>0</v>
      </c>
      <c r="L733" s="22">
        <f>F733*K733</f>
        <v>0</v>
      </c>
      <c r="M733" s="35" t="s">
        <v>1523</v>
      </c>
      <c r="N733" s="35" t="s">
        <v>11</v>
      </c>
      <c r="O733" s="22">
        <f>IF(N733="5",I733,0)</f>
        <v>0</v>
      </c>
      <c r="Z733" s="22">
        <f>IF(AD733=0,J733,0)</f>
        <v>0</v>
      </c>
      <c r="AA733" s="22">
        <f>IF(AD733=15,J733,0)</f>
        <v>0</v>
      </c>
      <c r="AB733" s="22">
        <f>IF(AD733=21,J733,0)</f>
        <v>0</v>
      </c>
      <c r="AD733" s="39">
        <v>15</v>
      </c>
      <c r="AE733" s="39">
        <f>G733*0</f>
        <v>0</v>
      </c>
      <c r="AF733" s="39">
        <f>G733*(1-0)</f>
        <v>0</v>
      </c>
      <c r="AM733" s="39">
        <f>F733*AE733</f>
        <v>0</v>
      </c>
      <c r="AN733" s="39">
        <f>F733*AF733</f>
        <v>0</v>
      </c>
      <c r="AO733" s="40" t="s">
        <v>1578</v>
      </c>
      <c r="AP733" s="40" t="s">
        <v>1602</v>
      </c>
      <c r="AQ733" s="31" t="s">
        <v>1609</v>
      </c>
    </row>
    <row r="734" spans="1:37" ht="12.75">
      <c r="A734" s="4"/>
      <c r="B734" s="14" t="s">
        <v>590</v>
      </c>
      <c r="C734" s="14" t="s">
        <v>819</v>
      </c>
      <c r="D734" s="104" t="s">
        <v>1116</v>
      </c>
      <c r="E734" s="105"/>
      <c r="F734" s="105"/>
      <c r="G734" s="105"/>
      <c r="H734" s="42">
        <f>SUM(H735:H735)</f>
        <v>0</v>
      </c>
      <c r="I734" s="42">
        <f>SUM(I735:I735)</f>
        <v>0</v>
      </c>
      <c r="J734" s="42">
        <f>H734+I734</f>
        <v>0</v>
      </c>
      <c r="K734" s="31"/>
      <c r="L734" s="42">
        <f>SUM(L735:L735)</f>
        <v>0</v>
      </c>
      <c r="M734" s="31"/>
      <c r="P734" s="42">
        <f>IF(Q734="PR",J734,SUM(O735:O735))</f>
        <v>0</v>
      </c>
      <c r="Q734" s="31" t="s">
        <v>1529</v>
      </c>
      <c r="R734" s="42">
        <f>IF(Q734="HS",H734,0)</f>
        <v>0</v>
      </c>
      <c r="S734" s="42">
        <f>IF(Q734="HS",I734-P734,0)</f>
        <v>0</v>
      </c>
      <c r="T734" s="42">
        <f>IF(Q734="PS",H734,0)</f>
        <v>0</v>
      </c>
      <c r="U734" s="42">
        <f>IF(Q734="PS",I734-P734,0)</f>
        <v>0</v>
      </c>
      <c r="V734" s="42">
        <f>IF(Q734="MP",H734,0)</f>
        <v>0</v>
      </c>
      <c r="W734" s="42">
        <f>IF(Q734="MP",I734-P734,0)</f>
        <v>0</v>
      </c>
      <c r="X734" s="42">
        <f>IF(Q734="OM",H734,0)</f>
        <v>0</v>
      </c>
      <c r="Y734" s="31" t="s">
        <v>590</v>
      </c>
      <c r="AI734" s="42">
        <f>SUM(Z735:Z735)</f>
        <v>0</v>
      </c>
      <c r="AJ734" s="42">
        <f>SUM(AA735:AA735)</f>
        <v>0</v>
      </c>
      <c r="AK734" s="42">
        <f>SUM(AB735:AB735)</f>
        <v>0</v>
      </c>
    </row>
    <row r="735" spans="1:43" ht="12.75">
      <c r="A735" s="5" t="s">
        <v>430</v>
      </c>
      <c r="B735" s="5" t="s">
        <v>590</v>
      </c>
      <c r="C735" s="5" t="s">
        <v>820</v>
      </c>
      <c r="D735" s="5" t="s">
        <v>1279</v>
      </c>
      <c r="E735" s="5" t="s">
        <v>1499</v>
      </c>
      <c r="F735" s="22">
        <v>1</v>
      </c>
      <c r="G735" s="22">
        <v>0</v>
      </c>
      <c r="H735" s="22">
        <f>F735*AE735</f>
        <v>0</v>
      </c>
      <c r="I735" s="22">
        <f>J735-H735</f>
        <v>0</v>
      </c>
      <c r="J735" s="22">
        <f>F735*G735</f>
        <v>0</v>
      </c>
      <c r="K735" s="22">
        <v>0</v>
      </c>
      <c r="L735" s="22">
        <f>F735*K735</f>
        <v>0</v>
      </c>
      <c r="M735" s="35" t="s">
        <v>1523</v>
      </c>
      <c r="N735" s="35" t="s">
        <v>11</v>
      </c>
      <c r="O735" s="22">
        <f>IF(N735="5",I735,0)</f>
        <v>0</v>
      </c>
      <c r="Z735" s="22">
        <f>IF(AD735=0,J735,0)</f>
        <v>0</v>
      </c>
      <c r="AA735" s="22">
        <f>IF(AD735=15,J735,0)</f>
        <v>0</v>
      </c>
      <c r="AB735" s="22">
        <f>IF(AD735=21,J735,0)</f>
        <v>0</v>
      </c>
      <c r="AD735" s="39">
        <v>15</v>
      </c>
      <c r="AE735" s="39">
        <f>G735*0</f>
        <v>0</v>
      </c>
      <c r="AF735" s="39">
        <f>G735*(1-0)</f>
        <v>0</v>
      </c>
      <c r="AM735" s="39">
        <f>F735*AE735</f>
        <v>0</v>
      </c>
      <c r="AN735" s="39">
        <f>F735*AF735</f>
        <v>0</v>
      </c>
      <c r="AO735" s="40" t="s">
        <v>1579</v>
      </c>
      <c r="AP735" s="40" t="s">
        <v>1602</v>
      </c>
      <c r="AQ735" s="31" t="s">
        <v>1609</v>
      </c>
    </row>
    <row r="736" spans="1:37" ht="12.75">
      <c r="A736" s="4"/>
      <c r="B736" s="14" t="s">
        <v>590</v>
      </c>
      <c r="C736" s="14" t="s">
        <v>821</v>
      </c>
      <c r="D736" s="104" t="s">
        <v>1138</v>
      </c>
      <c r="E736" s="105"/>
      <c r="F736" s="105"/>
      <c r="G736" s="105"/>
      <c r="H736" s="42">
        <f>SUM(H737:H737)</f>
        <v>0</v>
      </c>
      <c r="I736" s="42">
        <f>SUM(I737:I737)</f>
        <v>0</v>
      </c>
      <c r="J736" s="42">
        <f>H736+I736</f>
        <v>0</v>
      </c>
      <c r="K736" s="31"/>
      <c r="L736" s="42">
        <f>SUM(L737:L737)</f>
        <v>0</v>
      </c>
      <c r="M736" s="31"/>
      <c r="P736" s="42">
        <f>IF(Q736="PR",J736,SUM(O737:O737))</f>
        <v>0</v>
      </c>
      <c r="Q736" s="31" t="s">
        <v>1529</v>
      </c>
      <c r="R736" s="42">
        <f>IF(Q736="HS",H736,0)</f>
        <v>0</v>
      </c>
      <c r="S736" s="42">
        <f>IF(Q736="HS",I736-P736,0)</f>
        <v>0</v>
      </c>
      <c r="T736" s="42">
        <f>IF(Q736="PS",H736,0)</f>
        <v>0</v>
      </c>
      <c r="U736" s="42">
        <f>IF(Q736="PS",I736-P736,0)</f>
        <v>0</v>
      </c>
      <c r="V736" s="42">
        <f>IF(Q736="MP",H736,0)</f>
        <v>0</v>
      </c>
      <c r="W736" s="42">
        <f>IF(Q736="MP",I736-P736,0)</f>
        <v>0</v>
      </c>
      <c r="X736" s="42">
        <f>IF(Q736="OM",H736,0)</f>
        <v>0</v>
      </c>
      <c r="Y736" s="31" t="s">
        <v>590</v>
      </c>
      <c r="AI736" s="42">
        <f>SUM(Z737:Z737)</f>
        <v>0</v>
      </c>
      <c r="AJ736" s="42">
        <f>SUM(AA737:AA737)</f>
        <v>0</v>
      </c>
      <c r="AK736" s="42">
        <f>SUM(AB737:AB737)</f>
        <v>0</v>
      </c>
    </row>
    <row r="737" spans="1:43" ht="12.75">
      <c r="A737" s="5" t="s">
        <v>431</v>
      </c>
      <c r="B737" s="5" t="s">
        <v>590</v>
      </c>
      <c r="C737" s="5" t="s">
        <v>822</v>
      </c>
      <c r="D737" s="5" t="s">
        <v>1280</v>
      </c>
      <c r="E737" s="5" t="s">
        <v>1499</v>
      </c>
      <c r="F737" s="22">
        <v>1</v>
      </c>
      <c r="G737" s="22">
        <v>0</v>
      </c>
      <c r="H737" s="22">
        <f>F737*AE737</f>
        <v>0</v>
      </c>
      <c r="I737" s="22">
        <f>J737-H737</f>
        <v>0</v>
      </c>
      <c r="J737" s="22">
        <f>F737*G737</f>
        <v>0</v>
      </c>
      <c r="K737" s="22">
        <v>0</v>
      </c>
      <c r="L737" s="22">
        <f>F737*K737</f>
        <v>0</v>
      </c>
      <c r="M737" s="35" t="s">
        <v>1523</v>
      </c>
      <c r="N737" s="35" t="s">
        <v>11</v>
      </c>
      <c r="O737" s="22">
        <f>IF(N737="5",I737,0)</f>
        <v>0</v>
      </c>
      <c r="Z737" s="22">
        <f>IF(AD737=0,J737,0)</f>
        <v>0</v>
      </c>
      <c r="AA737" s="22">
        <f>IF(AD737=15,J737,0)</f>
        <v>0</v>
      </c>
      <c r="AB737" s="22">
        <f>IF(AD737=21,J737,0)</f>
        <v>0</v>
      </c>
      <c r="AD737" s="39">
        <v>15</v>
      </c>
      <c r="AE737" s="39">
        <f>G737*0</f>
        <v>0</v>
      </c>
      <c r="AF737" s="39">
        <f>G737*(1-0)</f>
        <v>0</v>
      </c>
      <c r="AM737" s="39">
        <f>F737*AE737</f>
        <v>0</v>
      </c>
      <c r="AN737" s="39">
        <f>F737*AF737</f>
        <v>0</v>
      </c>
      <c r="AO737" s="40" t="s">
        <v>1580</v>
      </c>
      <c r="AP737" s="40" t="s">
        <v>1602</v>
      </c>
      <c r="AQ737" s="31" t="s">
        <v>1609</v>
      </c>
    </row>
    <row r="738" spans="1:37" ht="12.75">
      <c r="A738" s="4"/>
      <c r="B738" s="14" t="s">
        <v>590</v>
      </c>
      <c r="C738" s="14" t="s">
        <v>649</v>
      </c>
      <c r="D738" s="104" t="s">
        <v>982</v>
      </c>
      <c r="E738" s="105"/>
      <c r="F738" s="105"/>
      <c r="G738" s="105"/>
      <c r="H738" s="42">
        <f>SUM(H739:H739)</f>
        <v>0</v>
      </c>
      <c r="I738" s="42">
        <f>SUM(I739:I739)</f>
        <v>0</v>
      </c>
      <c r="J738" s="42">
        <f>H738+I738</f>
        <v>0</v>
      </c>
      <c r="K738" s="31"/>
      <c r="L738" s="42">
        <f>SUM(L739:L739)</f>
        <v>0</v>
      </c>
      <c r="M738" s="31"/>
      <c r="P738" s="42">
        <f>IF(Q738="PR",J738,SUM(O739:O739))</f>
        <v>0</v>
      </c>
      <c r="Q738" s="31" t="s">
        <v>1529</v>
      </c>
      <c r="R738" s="42">
        <f>IF(Q738="HS",H738,0)</f>
        <v>0</v>
      </c>
      <c r="S738" s="42">
        <f>IF(Q738="HS",I738-P738,0)</f>
        <v>0</v>
      </c>
      <c r="T738" s="42">
        <f>IF(Q738="PS",H738,0)</f>
        <v>0</v>
      </c>
      <c r="U738" s="42">
        <f>IF(Q738="PS",I738-P738,0)</f>
        <v>0</v>
      </c>
      <c r="V738" s="42">
        <f>IF(Q738="MP",H738,0)</f>
        <v>0</v>
      </c>
      <c r="W738" s="42">
        <f>IF(Q738="MP",I738-P738,0)</f>
        <v>0</v>
      </c>
      <c r="X738" s="42">
        <f>IF(Q738="OM",H738,0)</f>
        <v>0</v>
      </c>
      <c r="Y738" s="31" t="s">
        <v>590</v>
      </c>
      <c r="AI738" s="42">
        <f>SUM(Z739:Z739)</f>
        <v>0</v>
      </c>
      <c r="AJ738" s="42">
        <f>SUM(AA739:AA739)</f>
        <v>0</v>
      </c>
      <c r="AK738" s="42">
        <f>SUM(AB739:AB739)</f>
        <v>0</v>
      </c>
    </row>
    <row r="739" spans="1:43" ht="12.75">
      <c r="A739" s="5" t="s">
        <v>432</v>
      </c>
      <c r="B739" s="5" t="s">
        <v>590</v>
      </c>
      <c r="C739" s="5" t="s">
        <v>823</v>
      </c>
      <c r="D739" s="5" t="s">
        <v>1281</v>
      </c>
      <c r="E739" s="5" t="s">
        <v>1499</v>
      </c>
      <c r="F739" s="22">
        <v>1</v>
      </c>
      <c r="G739" s="22">
        <v>0</v>
      </c>
      <c r="H739" s="22">
        <f>F739*AE739</f>
        <v>0</v>
      </c>
      <c r="I739" s="22">
        <f>J739-H739</f>
        <v>0</v>
      </c>
      <c r="J739" s="22">
        <f>F739*G739</f>
        <v>0</v>
      </c>
      <c r="K739" s="22">
        <v>0</v>
      </c>
      <c r="L739" s="22">
        <f>F739*K739</f>
        <v>0</v>
      </c>
      <c r="M739" s="35" t="s">
        <v>1523</v>
      </c>
      <c r="N739" s="35" t="s">
        <v>11</v>
      </c>
      <c r="O739" s="22">
        <f>IF(N739="5",I739,0)</f>
        <v>0</v>
      </c>
      <c r="Z739" s="22">
        <f>IF(AD739=0,J739,0)</f>
        <v>0</v>
      </c>
      <c r="AA739" s="22">
        <f>IF(AD739=15,J739,0)</f>
        <v>0</v>
      </c>
      <c r="AB739" s="22">
        <f>IF(AD739=21,J739,0)</f>
        <v>0</v>
      </c>
      <c r="AD739" s="39">
        <v>15</v>
      </c>
      <c r="AE739" s="39">
        <f>G739*0</f>
        <v>0</v>
      </c>
      <c r="AF739" s="39">
        <f>G739*(1-0)</f>
        <v>0</v>
      </c>
      <c r="AM739" s="39">
        <f>F739*AE739</f>
        <v>0</v>
      </c>
      <c r="AN739" s="39">
        <f>F739*AF739</f>
        <v>0</v>
      </c>
      <c r="AO739" s="40" t="s">
        <v>1554</v>
      </c>
      <c r="AP739" s="40" t="s">
        <v>1602</v>
      </c>
      <c r="AQ739" s="31" t="s">
        <v>1609</v>
      </c>
    </row>
    <row r="740" spans="1:37" ht="12.75">
      <c r="A740" s="4"/>
      <c r="B740" s="14" t="s">
        <v>590</v>
      </c>
      <c r="C740" s="14" t="s">
        <v>824</v>
      </c>
      <c r="D740" s="104" t="s">
        <v>1182</v>
      </c>
      <c r="E740" s="105"/>
      <c r="F740" s="105"/>
      <c r="G740" s="105"/>
      <c r="H740" s="42">
        <f>SUM(H741:H741)</f>
        <v>0</v>
      </c>
      <c r="I740" s="42">
        <f>SUM(I741:I741)</f>
        <v>0</v>
      </c>
      <c r="J740" s="42">
        <f>H740+I740</f>
        <v>0</v>
      </c>
      <c r="K740" s="31"/>
      <c r="L740" s="42">
        <f>SUM(L741:L741)</f>
        <v>0</v>
      </c>
      <c r="M740" s="31"/>
      <c r="P740" s="42">
        <f>IF(Q740="PR",J740,SUM(O741:O741))</f>
        <v>0</v>
      </c>
      <c r="Q740" s="31" t="s">
        <v>1529</v>
      </c>
      <c r="R740" s="42">
        <f>IF(Q740="HS",H740,0)</f>
        <v>0</v>
      </c>
      <c r="S740" s="42">
        <f>IF(Q740="HS",I740-P740,0)</f>
        <v>0</v>
      </c>
      <c r="T740" s="42">
        <f>IF(Q740="PS",H740,0)</f>
        <v>0</v>
      </c>
      <c r="U740" s="42">
        <f>IF(Q740="PS",I740-P740,0)</f>
        <v>0</v>
      </c>
      <c r="V740" s="42">
        <f>IF(Q740="MP",H740,0)</f>
        <v>0</v>
      </c>
      <c r="W740" s="42">
        <f>IF(Q740="MP",I740-P740,0)</f>
        <v>0</v>
      </c>
      <c r="X740" s="42">
        <f>IF(Q740="OM",H740,0)</f>
        <v>0</v>
      </c>
      <c r="Y740" s="31" t="s">
        <v>590</v>
      </c>
      <c r="AI740" s="42">
        <f>SUM(Z741:Z741)</f>
        <v>0</v>
      </c>
      <c r="AJ740" s="42">
        <f>SUM(AA741:AA741)</f>
        <v>0</v>
      </c>
      <c r="AK740" s="42">
        <f>SUM(AB741:AB741)</f>
        <v>0</v>
      </c>
    </row>
    <row r="741" spans="1:43" ht="12.75">
      <c r="A741" s="5" t="s">
        <v>433</v>
      </c>
      <c r="B741" s="5" t="s">
        <v>590</v>
      </c>
      <c r="C741" s="5" t="s">
        <v>825</v>
      </c>
      <c r="D741" s="5" t="s">
        <v>1282</v>
      </c>
      <c r="E741" s="5" t="s">
        <v>1499</v>
      </c>
      <c r="F741" s="22">
        <v>1</v>
      </c>
      <c r="G741" s="22">
        <v>0</v>
      </c>
      <c r="H741" s="22">
        <f>F741*AE741</f>
        <v>0</v>
      </c>
      <c r="I741" s="22">
        <f>J741-H741</f>
        <v>0</v>
      </c>
      <c r="J741" s="22">
        <f>F741*G741</f>
        <v>0</v>
      </c>
      <c r="K741" s="22">
        <v>0</v>
      </c>
      <c r="L741" s="22">
        <f>F741*K741</f>
        <v>0</v>
      </c>
      <c r="M741" s="35" t="s">
        <v>1523</v>
      </c>
      <c r="N741" s="35" t="s">
        <v>11</v>
      </c>
      <c r="O741" s="22">
        <f>IF(N741="5",I741,0)</f>
        <v>0</v>
      </c>
      <c r="Z741" s="22">
        <f>IF(AD741=0,J741,0)</f>
        <v>0</v>
      </c>
      <c r="AA741" s="22">
        <f>IF(AD741=15,J741,0)</f>
        <v>0</v>
      </c>
      <c r="AB741" s="22">
        <f>IF(AD741=21,J741,0)</f>
        <v>0</v>
      </c>
      <c r="AD741" s="39">
        <v>15</v>
      </c>
      <c r="AE741" s="39">
        <f>G741*0</f>
        <v>0</v>
      </c>
      <c r="AF741" s="39">
        <f>G741*(1-0)</f>
        <v>0</v>
      </c>
      <c r="AM741" s="39">
        <f>F741*AE741</f>
        <v>0</v>
      </c>
      <c r="AN741" s="39">
        <f>F741*AF741</f>
        <v>0</v>
      </c>
      <c r="AO741" s="40" t="s">
        <v>1581</v>
      </c>
      <c r="AP741" s="40" t="s">
        <v>1602</v>
      </c>
      <c r="AQ741" s="31" t="s">
        <v>1609</v>
      </c>
    </row>
    <row r="742" spans="1:37" ht="12.75">
      <c r="A742" s="4"/>
      <c r="B742" s="14" t="s">
        <v>590</v>
      </c>
      <c r="C742" s="14" t="s">
        <v>826</v>
      </c>
      <c r="D742" s="104" t="s">
        <v>1185</v>
      </c>
      <c r="E742" s="105"/>
      <c r="F742" s="105"/>
      <c r="G742" s="105"/>
      <c r="H742" s="42">
        <f>SUM(H743:H743)</f>
        <v>0</v>
      </c>
      <c r="I742" s="42">
        <f>SUM(I743:I743)</f>
        <v>0</v>
      </c>
      <c r="J742" s="42">
        <f>H742+I742</f>
        <v>0</v>
      </c>
      <c r="K742" s="31"/>
      <c r="L742" s="42">
        <f>SUM(L743:L743)</f>
        <v>0</v>
      </c>
      <c r="M742" s="31"/>
      <c r="P742" s="42">
        <f>IF(Q742="PR",J742,SUM(O743:O743))</f>
        <v>0</v>
      </c>
      <c r="Q742" s="31" t="s">
        <v>1529</v>
      </c>
      <c r="R742" s="42">
        <f>IF(Q742="HS",H742,0)</f>
        <v>0</v>
      </c>
      <c r="S742" s="42">
        <f>IF(Q742="HS",I742-P742,0)</f>
        <v>0</v>
      </c>
      <c r="T742" s="42">
        <f>IF(Q742="PS",H742,0)</f>
        <v>0</v>
      </c>
      <c r="U742" s="42">
        <f>IF(Q742="PS",I742-P742,0)</f>
        <v>0</v>
      </c>
      <c r="V742" s="42">
        <f>IF(Q742="MP",H742,0)</f>
        <v>0</v>
      </c>
      <c r="W742" s="42">
        <f>IF(Q742="MP",I742-P742,0)</f>
        <v>0</v>
      </c>
      <c r="X742" s="42">
        <f>IF(Q742="OM",H742,0)</f>
        <v>0</v>
      </c>
      <c r="Y742" s="31" t="s">
        <v>590</v>
      </c>
      <c r="AI742" s="42">
        <f>SUM(Z743:Z743)</f>
        <v>0</v>
      </c>
      <c r="AJ742" s="42">
        <f>SUM(AA743:AA743)</f>
        <v>0</v>
      </c>
      <c r="AK742" s="42">
        <f>SUM(AB743:AB743)</f>
        <v>0</v>
      </c>
    </row>
    <row r="743" spans="1:43" ht="12.75">
      <c r="A743" s="5" t="s">
        <v>434</v>
      </c>
      <c r="B743" s="5" t="s">
        <v>590</v>
      </c>
      <c r="C743" s="5" t="s">
        <v>827</v>
      </c>
      <c r="D743" s="5" t="s">
        <v>1283</v>
      </c>
      <c r="E743" s="5" t="s">
        <v>1499</v>
      </c>
      <c r="F743" s="22">
        <v>1</v>
      </c>
      <c r="G743" s="22">
        <v>0</v>
      </c>
      <c r="H743" s="22">
        <f>F743*AE743</f>
        <v>0</v>
      </c>
      <c r="I743" s="22">
        <f>J743-H743</f>
        <v>0</v>
      </c>
      <c r="J743" s="22">
        <f>F743*G743</f>
        <v>0</v>
      </c>
      <c r="K743" s="22">
        <v>0</v>
      </c>
      <c r="L743" s="22">
        <f>F743*K743</f>
        <v>0</v>
      </c>
      <c r="M743" s="35" t="s">
        <v>1523</v>
      </c>
      <c r="N743" s="35" t="s">
        <v>11</v>
      </c>
      <c r="O743" s="22">
        <f>IF(N743="5",I743,0)</f>
        <v>0</v>
      </c>
      <c r="Z743" s="22">
        <f>IF(AD743=0,J743,0)</f>
        <v>0</v>
      </c>
      <c r="AA743" s="22">
        <f>IF(AD743=15,J743,0)</f>
        <v>0</v>
      </c>
      <c r="AB743" s="22">
        <f>IF(AD743=21,J743,0)</f>
        <v>0</v>
      </c>
      <c r="AD743" s="39">
        <v>15</v>
      </c>
      <c r="AE743" s="39">
        <f>G743*0</f>
        <v>0</v>
      </c>
      <c r="AF743" s="39">
        <f>G743*(1-0)</f>
        <v>0</v>
      </c>
      <c r="AM743" s="39">
        <f>F743*AE743</f>
        <v>0</v>
      </c>
      <c r="AN743" s="39">
        <f>F743*AF743</f>
        <v>0</v>
      </c>
      <c r="AO743" s="40" t="s">
        <v>1582</v>
      </c>
      <c r="AP743" s="40" t="s">
        <v>1602</v>
      </c>
      <c r="AQ743" s="31" t="s">
        <v>1609</v>
      </c>
    </row>
    <row r="744" spans="1:37" ht="12.75">
      <c r="A744" s="4"/>
      <c r="B744" s="14" t="s">
        <v>590</v>
      </c>
      <c r="C744" s="14" t="s">
        <v>828</v>
      </c>
      <c r="D744" s="104" t="s">
        <v>1190</v>
      </c>
      <c r="E744" s="105"/>
      <c r="F744" s="105"/>
      <c r="G744" s="105"/>
      <c r="H744" s="42">
        <f>SUM(H745:H745)</f>
        <v>0</v>
      </c>
      <c r="I744" s="42">
        <f>SUM(I745:I745)</f>
        <v>0</v>
      </c>
      <c r="J744" s="42">
        <f>H744+I744</f>
        <v>0</v>
      </c>
      <c r="K744" s="31"/>
      <c r="L744" s="42">
        <f>SUM(L745:L745)</f>
        <v>0</v>
      </c>
      <c r="M744" s="31"/>
      <c r="P744" s="42">
        <f>IF(Q744="PR",J744,SUM(O745:O745))</f>
        <v>0</v>
      </c>
      <c r="Q744" s="31" t="s">
        <v>1529</v>
      </c>
      <c r="R744" s="42">
        <f>IF(Q744="HS",H744,0)</f>
        <v>0</v>
      </c>
      <c r="S744" s="42">
        <f>IF(Q744="HS",I744-P744,0)</f>
        <v>0</v>
      </c>
      <c r="T744" s="42">
        <f>IF(Q744="PS",H744,0)</f>
        <v>0</v>
      </c>
      <c r="U744" s="42">
        <f>IF(Q744="PS",I744-P744,0)</f>
        <v>0</v>
      </c>
      <c r="V744" s="42">
        <f>IF(Q744="MP",H744,0)</f>
        <v>0</v>
      </c>
      <c r="W744" s="42">
        <f>IF(Q744="MP",I744-P744,0)</f>
        <v>0</v>
      </c>
      <c r="X744" s="42">
        <f>IF(Q744="OM",H744,0)</f>
        <v>0</v>
      </c>
      <c r="Y744" s="31" t="s">
        <v>590</v>
      </c>
      <c r="AI744" s="42">
        <f>SUM(Z745:Z745)</f>
        <v>0</v>
      </c>
      <c r="AJ744" s="42">
        <f>SUM(AA745:AA745)</f>
        <v>0</v>
      </c>
      <c r="AK744" s="42">
        <f>SUM(AB745:AB745)</f>
        <v>0</v>
      </c>
    </row>
    <row r="745" spans="1:43" ht="12.75">
      <c r="A745" s="5" t="s">
        <v>435</v>
      </c>
      <c r="B745" s="5" t="s">
        <v>590</v>
      </c>
      <c r="C745" s="5" t="s">
        <v>829</v>
      </c>
      <c r="D745" s="5" t="s">
        <v>1284</v>
      </c>
      <c r="E745" s="5" t="s">
        <v>1499</v>
      </c>
      <c r="F745" s="22">
        <v>1</v>
      </c>
      <c r="G745" s="22">
        <v>0</v>
      </c>
      <c r="H745" s="22">
        <f>F745*AE745</f>
        <v>0</v>
      </c>
      <c r="I745" s="22">
        <f>J745-H745</f>
        <v>0</v>
      </c>
      <c r="J745" s="22">
        <f>F745*G745</f>
        <v>0</v>
      </c>
      <c r="K745" s="22">
        <v>0</v>
      </c>
      <c r="L745" s="22">
        <f>F745*K745</f>
        <v>0</v>
      </c>
      <c r="M745" s="35" t="s">
        <v>1523</v>
      </c>
      <c r="N745" s="35" t="s">
        <v>11</v>
      </c>
      <c r="O745" s="22">
        <f>IF(N745="5",I745,0)</f>
        <v>0</v>
      </c>
      <c r="Z745" s="22">
        <f>IF(AD745=0,J745,0)</f>
        <v>0</v>
      </c>
      <c r="AA745" s="22">
        <f>IF(AD745=15,J745,0)</f>
        <v>0</v>
      </c>
      <c r="AB745" s="22">
        <f>IF(AD745=21,J745,0)</f>
        <v>0</v>
      </c>
      <c r="AD745" s="39">
        <v>15</v>
      </c>
      <c r="AE745" s="39">
        <f>G745*0</f>
        <v>0</v>
      </c>
      <c r="AF745" s="39">
        <f>G745*(1-0)</f>
        <v>0</v>
      </c>
      <c r="AM745" s="39">
        <f>F745*AE745</f>
        <v>0</v>
      </c>
      <c r="AN745" s="39">
        <f>F745*AF745</f>
        <v>0</v>
      </c>
      <c r="AO745" s="40" t="s">
        <v>1583</v>
      </c>
      <c r="AP745" s="40" t="s">
        <v>1602</v>
      </c>
      <c r="AQ745" s="31" t="s">
        <v>1609</v>
      </c>
    </row>
    <row r="746" spans="1:37" ht="12.75">
      <c r="A746" s="4"/>
      <c r="B746" s="14" t="s">
        <v>590</v>
      </c>
      <c r="C746" s="14" t="s">
        <v>651</v>
      </c>
      <c r="D746" s="104" t="s">
        <v>995</v>
      </c>
      <c r="E746" s="105"/>
      <c r="F746" s="105"/>
      <c r="G746" s="105"/>
      <c r="H746" s="42">
        <f>SUM(H747:H747)</f>
        <v>0</v>
      </c>
      <c r="I746" s="42">
        <f>SUM(I747:I747)</f>
        <v>0</v>
      </c>
      <c r="J746" s="42">
        <f>H746+I746</f>
        <v>0</v>
      </c>
      <c r="K746" s="31"/>
      <c r="L746" s="42">
        <f>SUM(L747:L747)</f>
        <v>0</v>
      </c>
      <c r="M746" s="31"/>
      <c r="P746" s="42">
        <f>IF(Q746="PR",J746,SUM(O747:O747))</f>
        <v>0</v>
      </c>
      <c r="Q746" s="31" t="s">
        <v>1529</v>
      </c>
      <c r="R746" s="42">
        <f>IF(Q746="HS",H746,0)</f>
        <v>0</v>
      </c>
      <c r="S746" s="42">
        <f>IF(Q746="HS",I746-P746,0)</f>
        <v>0</v>
      </c>
      <c r="T746" s="42">
        <f>IF(Q746="PS",H746,0)</f>
        <v>0</v>
      </c>
      <c r="U746" s="42">
        <f>IF(Q746="PS",I746-P746,0)</f>
        <v>0</v>
      </c>
      <c r="V746" s="42">
        <f>IF(Q746="MP",H746,0)</f>
        <v>0</v>
      </c>
      <c r="W746" s="42">
        <f>IF(Q746="MP",I746-P746,0)</f>
        <v>0</v>
      </c>
      <c r="X746" s="42">
        <f>IF(Q746="OM",H746,0)</f>
        <v>0</v>
      </c>
      <c r="Y746" s="31" t="s">
        <v>590</v>
      </c>
      <c r="AI746" s="42">
        <f>SUM(Z747:Z747)</f>
        <v>0</v>
      </c>
      <c r="AJ746" s="42">
        <f>SUM(AA747:AA747)</f>
        <v>0</v>
      </c>
      <c r="AK746" s="42">
        <f>SUM(AB747:AB747)</f>
        <v>0</v>
      </c>
    </row>
    <row r="747" spans="1:43" ht="12.75">
      <c r="A747" s="5" t="s">
        <v>436</v>
      </c>
      <c r="B747" s="5" t="s">
        <v>590</v>
      </c>
      <c r="C747" s="5" t="s">
        <v>830</v>
      </c>
      <c r="D747" s="5" t="s">
        <v>1285</v>
      </c>
      <c r="E747" s="5" t="s">
        <v>1499</v>
      </c>
      <c r="F747" s="22">
        <v>1</v>
      </c>
      <c r="G747" s="22">
        <v>0</v>
      </c>
      <c r="H747" s="22">
        <f>F747*AE747</f>
        <v>0</v>
      </c>
      <c r="I747" s="22">
        <f>J747-H747</f>
        <v>0</v>
      </c>
      <c r="J747" s="22">
        <f>F747*G747</f>
        <v>0</v>
      </c>
      <c r="K747" s="22">
        <v>0</v>
      </c>
      <c r="L747" s="22">
        <f>F747*K747</f>
        <v>0</v>
      </c>
      <c r="M747" s="35" t="s">
        <v>1523</v>
      </c>
      <c r="N747" s="35" t="s">
        <v>11</v>
      </c>
      <c r="O747" s="22">
        <f>IF(N747="5",I747,0)</f>
        <v>0</v>
      </c>
      <c r="Z747" s="22">
        <f>IF(AD747=0,J747,0)</f>
        <v>0</v>
      </c>
      <c r="AA747" s="22">
        <f>IF(AD747=15,J747,0)</f>
        <v>0</v>
      </c>
      <c r="AB747" s="22">
        <f>IF(AD747=21,J747,0)</f>
        <v>0</v>
      </c>
      <c r="AD747" s="39">
        <v>15</v>
      </c>
      <c r="AE747" s="39">
        <f>G747*0</f>
        <v>0</v>
      </c>
      <c r="AF747" s="39">
        <f>G747*(1-0)</f>
        <v>0</v>
      </c>
      <c r="AM747" s="39">
        <f>F747*AE747</f>
        <v>0</v>
      </c>
      <c r="AN747" s="39">
        <f>F747*AF747</f>
        <v>0</v>
      </c>
      <c r="AO747" s="40" t="s">
        <v>1555</v>
      </c>
      <c r="AP747" s="40" t="s">
        <v>1602</v>
      </c>
      <c r="AQ747" s="31" t="s">
        <v>1609</v>
      </c>
    </row>
    <row r="748" spans="1:37" ht="12.75">
      <c r="A748" s="4"/>
      <c r="B748" s="14" t="s">
        <v>590</v>
      </c>
      <c r="C748" s="14" t="s">
        <v>831</v>
      </c>
      <c r="D748" s="104" t="s">
        <v>1211</v>
      </c>
      <c r="E748" s="105"/>
      <c r="F748" s="105"/>
      <c r="G748" s="105"/>
      <c r="H748" s="42">
        <f>SUM(H749:H749)</f>
        <v>0</v>
      </c>
      <c r="I748" s="42">
        <f>SUM(I749:I749)</f>
        <v>0</v>
      </c>
      <c r="J748" s="42">
        <f>H748+I748</f>
        <v>0</v>
      </c>
      <c r="K748" s="31"/>
      <c r="L748" s="42">
        <f>SUM(L749:L749)</f>
        <v>0</v>
      </c>
      <c r="M748" s="31"/>
      <c r="P748" s="42">
        <f>IF(Q748="PR",J748,SUM(O749:O749))</f>
        <v>0</v>
      </c>
      <c r="Q748" s="31" t="s">
        <v>1529</v>
      </c>
      <c r="R748" s="42">
        <f>IF(Q748="HS",H748,0)</f>
        <v>0</v>
      </c>
      <c r="S748" s="42">
        <f>IF(Q748="HS",I748-P748,0)</f>
        <v>0</v>
      </c>
      <c r="T748" s="42">
        <f>IF(Q748="PS",H748,0)</f>
        <v>0</v>
      </c>
      <c r="U748" s="42">
        <f>IF(Q748="PS",I748-P748,0)</f>
        <v>0</v>
      </c>
      <c r="V748" s="42">
        <f>IF(Q748="MP",H748,0)</f>
        <v>0</v>
      </c>
      <c r="W748" s="42">
        <f>IF(Q748="MP",I748-P748,0)</f>
        <v>0</v>
      </c>
      <c r="X748" s="42">
        <f>IF(Q748="OM",H748,0)</f>
        <v>0</v>
      </c>
      <c r="Y748" s="31" t="s">
        <v>590</v>
      </c>
      <c r="AI748" s="42">
        <f>SUM(Z749:Z749)</f>
        <v>0</v>
      </c>
      <c r="AJ748" s="42">
        <f>SUM(AA749:AA749)</f>
        <v>0</v>
      </c>
      <c r="AK748" s="42">
        <f>SUM(AB749:AB749)</f>
        <v>0</v>
      </c>
    </row>
    <row r="749" spans="1:43" ht="12.75">
      <c r="A749" s="5" t="s">
        <v>437</v>
      </c>
      <c r="B749" s="5" t="s">
        <v>590</v>
      </c>
      <c r="C749" s="5" t="s">
        <v>832</v>
      </c>
      <c r="D749" s="5" t="s">
        <v>1286</v>
      </c>
      <c r="E749" s="5" t="s">
        <v>1499</v>
      </c>
      <c r="F749" s="22">
        <v>1</v>
      </c>
      <c r="G749" s="22">
        <v>0</v>
      </c>
      <c r="H749" s="22">
        <f>F749*AE749</f>
        <v>0</v>
      </c>
      <c r="I749" s="22">
        <f>J749-H749</f>
        <v>0</v>
      </c>
      <c r="J749" s="22">
        <f>F749*G749</f>
        <v>0</v>
      </c>
      <c r="K749" s="22">
        <v>0</v>
      </c>
      <c r="L749" s="22">
        <f>F749*K749</f>
        <v>0</v>
      </c>
      <c r="M749" s="35" t="s">
        <v>1523</v>
      </c>
      <c r="N749" s="35" t="s">
        <v>11</v>
      </c>
      <c r="O749" s="22">
        <f>IF(N749="5",I749,0)</f>
        <v>0</v>
      </c>
      <c r="Z749" s="22">
        <f>IF(AD749=0,J749,0)</f>
        <v>0</v>
      </c>
      <c r="AA749" s="22">
        <f>IF(AD749=15,J749,0)</f>
        <v>0</v>
      </c>
      <c r="AB749" s="22">
        <f>IF(AD749=21,J749,0)</f>
        <v>0</v>
      </c>
      <c r="AD749" s="39">
        <v>15</v>
      </c>
      <c r="AE749" s="39">
        <f>G749*0</f>
        <v>0</v>
      </c>
      <c r="AF749" s="39">
        <f>G749*(1-0)</f>
        <v>0</v>
      </c>
      <c r="AM749" s="39">
        <f>F749*AE749</f>
        <v>0</v>
      </c>
      <c r="AN749" s="39">
        <f>F749*AF749</f>
        <v>0</v>
      </c>
      <c r="AO749" s="40" t="s">
        <v>1584</v>
      </c>
      <c r="AP749" s="40" t="s">
        <v>1602</v>
      </c>
      <c r="AQ749" s="31" t="s">
        <v>1609</v>
      </c>
    </row>
    <row r="750" spans="1:37" ht="12.75">
      <c r="A750" s="4"/>
      <c r="B750" s="14" t="s">
        <v>590</v>
      </c>
      <c r="C750" s="14" t="s">
        <v>653</v>
      </c>
      <c r="D750" s="104" t="s">
        <v>1003</v>
      </c>
      <c r="E750" s="105"/>
      <c r="F750" s="105"/>
      <c r="G750" s="105"/>
      <c r="H750" s="42">
        <f>SUM(H751:H751)</f>
        <v>0</v>
      </c>
      <c r="I750" s="42">
        <f>SUM(I751:I751)</f>
        <v>0</v>
      </c>
      <c r="J750" s="42">
        <f>H750+I750</f>
        <v>0</v>
      </c>
      <c r="K750" s="31"/>
      <c r="L750" s="42">
        <f>SUM(L751:L751)</f>
        <v>0</v>
      </c>
      <c r="M750" s="31"/>
      <c r="P750" s="42">
        <f>IF(Q750="PR",J750,SUM(O751:O751))</f>
        <v>0</v>
      </c>
      <c r="Q750" s="31" t="s">
        <v>1529</v>
      </c>
      <c r="R750" s="42">
        <f>IF(Q750="HS",H750,0)</f>
        <v>0</v>
      </c>
      <c r="S750" s="42">
        <f>IF(Q750="HS",I750-P750,0)</f>
        <v>0</v>
      </c>
      <c r="T750" s="42">
        <f>IF(Q750="PS",H750,0)</f>
        <v>0</v>
      </c>
      <c r="U750" s="42">
        <f>IF(Q750="PS",I750-P750,0)</f>
        <v>0</v>
      </c>
      <c r="V750" s="42">
        <f>IF(Q750="MP",H750,0)</f>
        <v>0</v>
      </c>
      <c r="W750" s="42">
        <f>IF(Q750="MP",I750-P750,0)</f>
        <v>0</v>
      </c>
      <c r="X750" s="42">
        <f>IF(Q750="OM",H750,0)</f>
        <v>0</v>
      </c>
      <c r="Y750" s="31" t="s">
        <v>590</v>
      </c>
      <c r="AI750" s="42">
        <f>SUM(Z751:Z751)</f>
        <v>0</v>
      </c>
      <c r="AJ750" s="42">
        <f>SUM(AA751:AA751)</f>
        <v>0</v>
      </c>
      <c r="AK750" s="42">
        <f>SUM(AB751:AB751)</f>
        <v>0</v>
      </c>
    </row>
    <row r="751" spans="1:43" ht="12.75">
      <c r="A751" s="5" t="s">
        <v>438</v>
      </c>
      <c r="B751" s="5" t="s">
        <v>590</v>
      </c>
      <c r="C751" s="5" t="s">
        <v>833</v>
      </c>
      <c r="D751" s="5" t="s">
        <v>1287</v>
      </c>
      <c r="E751" s="5" t="s">
        <v>1499</v>
      </c>
      <c r="F751" s="22">
        <v>1</v>
      </c>
      <c r="G751" s="22">
        <v>0</v>
      </c>
      <c r="H751" s="22">
        <f>F751*AE751</f>
        <v>0</v>
      </c>
      <c r="I751" s="22">
        <f>J751-H751</f>
        <v>0</v>
      </c>
      <c r="J751" s="22">
        <f>F751*G751</f>
        <v>0</v>
      </c>
      <c r="K751" s="22">
        <v>0</v>
      </c>
      <c r="L751" s="22">
        <f>F751*K751</f>
        <v>0</v>
      </c>
      <c r="M751" s="35" t="s">
        <v>1523</v>
      </c>
      <c r="N751" s="35" t="s">
        <v>11</v>
      </c>
      <c r="O751" s="22">
        <f>IF(N751="5",I751,0)</f>
        <v>0</v>
      </c>
      <c r="Z751" s="22">
        <f>IF(AD751=0,J751,0)</f>
        <v>0</v>
      </c>
      <c r="AA751" s="22">
        <f>IF(AD751=15,J751,0)</f>
        <v>0</v>
      </c>
      <c r="AB751" s="22">
        <f>IF(AD751=21,J751,0)</f>
        <v>0</v>
      </c>
      <c r="AD751" s="39">
        <v>15</v>
      </c>
      <c r="AE751" s="39">
        <f>G751*0</f>
        <v>0</v>
      </c>
      <c r="AF751" s="39">
        <f>G751*(1-0)</f>
        <v>0</v>
      </c>
      <c r="AM751" s="39">
        <f>F751*AE751</f>
        <v>0</v>
      </c>
      <c r="AN751" s="39">
        <f>F751*AF751</f>
        <v>0</v>
      </c>
      <c r="AO751" s="40" t="s">
        <v>1556</v>
      </c>
      <c r="AP751" s="40" t="s">
        <v>1602</v>
      </c>
      <c r="AQ751" s="31" t="s">
        <v>1609</v>
      </c>
    </row>
    <row r="752" spans="1:37" ht="12.75">
      <c r="A752" s="4"/>
      <c r="B752" s="14" t="s">
        <v>590</v>
      </c>
      <c r="C752" s="14" t="s">
        <v>834</v>
      </c>
      <c r="D752" s="104" t="s">
        <v>1227</v>
      </c>
      <c r="E752" s="105"/>
      <c r="F752" s="105"/>
      <c r="G752" s="105"/>
      <c r="H752" s="42">
        <f>SUM(H753:H753)</f>
        <v>0</v>
      </c>
      <c r="I752" s="42">
        <f>SUM(I753:I753)</f>
        <v>0</v>
      </c>
      <c r="J752" s="42">
        <f>H752+I752</f>
        <v>0</v>
      </c>
      <c r="K752" s="31"/>
      <c r="L752" s="42">
        <f>SUM(L753:L753)</f>
        <v>0</v>
      </c>
      <c r="M752" s="31"/>
      <c r="P752" s="42">
        <f>IF(Q752="PR",J752,SUM(O753:O753))</f>
        <v>0</v>
      </c>
      <c r="Q752" s="31" t="s">
        <v>1529</v>
      </c>
      <c r="R752" s="42">
        <f>IF(Q752="HS",H752,0)</f>
        <v>0</v>
      </c>
      <c r="S752" s="42">
        <f>IF(Q752="HS",I752-P752,0)</f>
        <v>0</v>
      </c>
      <c r="T752" s="42">
        <f>IF(Q752="PS",H752,0)</f>
        <v>0</v>
      </c>
      <c r="U752" s="42">
        <f>IF(Q752="PS",I752-P752,0)</f>
        <v>0</v>
      </c>
      <c r="V752" s="42">
        <f>IF(Q752="MP",H752,0)</f>
        <v>0</v>
      </c>
      <c r="W752" s="42">
        <f>IF(Q752="MP",I752-P752,0)</f>
        <v>0</v>
      </c>
      <c r="X752" s="42">
        <f>IF(Q752="OM",H752,0)</f>
        <v>0</v>
      </c>
      <c r="Y752" s="31" t="s">
        <v>590</v>
      </c>
      <c r="AI752" s="42">
        <f>SUM(Z753:Z753)</f>
        <v>0</v>
      </c>
      <c r="AJ752" s="42">
        <f>SUM(AA753:AA753)</f>
        <v>0</v>
      </c>
      <c r="AK752" s="42">
        <f>SUM(AB753:AB753)</f>
        <v>0</v>
      </c>
    </row>
    <row r="753" spans="1:43" ht="12.75">
      <c r="A753" s="5" t="s">
        <v>439</v>
      </c>
      <c r="B753" s="5" t="s">
        <v>590</v>
      </c>
      <c r="C753" s="5" t="s">
        <v>835</v>
      </c>
      <c r="D753" s="5" t="s">
        <v>1288</v>
      </c>
      <c r="E753" s="5" t="s">
        <v>1499</v>
      </c>
      <c r="F753" s="22">
        <v>1</v>
      </c>
      <c r="G753" s="22">
        <v>0</v>
      </c>
      <c r="H753" s="22">
        <f>F753*AE753</f>
        <v>0</v>
      </c>
      <c r="I753" s="22">
        <f>J753-H753</f>
        <v>0</v>
      </c>
      <c r="J753" s="22">
        <f>F753*G753</f>
        <v>0</v>
      </c>
      <c r="K753" s="22">
        <v>0</v>
      </c>
      <c r="L753" s="22">
        <f>F753*K753</f>
        <v>0</v>
      </c>
      <c r="M753" s="35" t="s">
        <v>1523</v>
      </c>
      <c r="N753" s="35" t="s">
        <v>11</v>
      </c>
      <c r="O753" s="22">
        <f>IF(N753="5",I753,0)</f>
        <v>0</v>
      </c>
      <c r="Z753" s="22">
        <f>IF(AD753=0,J753,0)</f>
        <v>0</v>
      </c>
      <c r="AA753" s="22">
        <f>IF(AD753=15,J753,0)</f>
        <v>0</v>
      </c>
      <c r="AB753" s="22">
        <f>IF(AD753=21,J753,0)</f>
        <v>0</v>
      </c>
      <c r="AD753" s="39">
        <v>15</v>
      </c>
      <c r="AE753" s="39">
        <f>G753*0</f>
        <v>0</v>
      </c>
      <c r="AF753" s="39">
        <f>G753*(1-0)</f>
        <v>0</v>
      </c>
      <c r="AM753" s="39">
        <f>F753*AE753</f>
        <v>0</v>
      </c>
      <c r="AN753" s="39">
        <f>F753*AF753</f>
        <v>0</v>
      </c>
      <c r="AO753" s="40" t="s">
        <v>1585</v>
      </c>
      <c r="AP753" s="40" t="s">
        <v>1602</v>
      </c>
      <c r="AQ753" s="31" t="s">
        <v>1609</v>
      </c>
    </row>
    <row r="754" spans="1:37" ht="12.75">
      <c r="A754" s="4"/>
      <c r="B754" s="14" t="s">
        <v>590</v>
      </c>
      <c r="C754" s="14" t="s">
        <v>655</v>
      </c>
      <c r="D754" s="104" t="s">
        <v>1007</v>
      </c>
      <c r="E754" s="105"/>
      <c r="F754" s="105"/>
      <c r="G754" s="105"/>
      <c r="H754" s="42">
        <f>SUM(H755:H755)</f>
        <v>0</v>
      </c>
      <c r="I754" s="42">
        <f>SUM(I755:I755)</f>
        <v>0</v>
      </c>
      <c r="J754" s="42">
        <f>H754+I754</f>
        <v>0</v>
      </c>
      <c r="K754" s="31"/>
      <c r="L754" s="42">
        <f>SUM(L755:L755)</f>
        <v>0</v>
      </c>
      <c r="M754" s="31"/>
      <c r="P754" s="42">
        <f>IF(Q754="PR",J754,SUM(O755:O755))</f>
        <v>0</v>
      </c>
      <c r="Q754" s="31" t="s">
        <v>1529</v>
      </c>
      <c r="R754" s="42">
        <f>IF(Q754="HS",H754,0)</f>
        <v>0</v>
      </c>
      <c r="S754" s="42">
        <f>IF(Q754="HS",I754-P754,0)</f>
        <v>0</v>
      </c>
      <c r="T754" s="42">
        <f>IF(Q754="PS",H754,0)</f>
        <v>0</v>
      </c>
      <c r="U754" s="42">
        <f>IF(Q754="PS",I754-P754,0)</f>
        <v>0</v>
      </c>
      <c r="V754" s="42">
        <f>IF(Q754="MP",H754,0)</f>
        <v>0</v>
      </c>
      <c r="W754" s="42">
        <f>IF(Q754="MP",I754-P754,0)</f>
        <v>0</v>
      </c>
      <c r="X754" s="42">
        <f>IF(Q754="OM",H754,0)</f>
        <v>0</v>
      </c>
      <c r="Y754" s="31" t="s">
        <v>590</v>
      </c>
      <c r="AI754" s="42">
        <f>SUM(Z755:Z755)</f>
        <v>0</v>
      </c>
      <c r="AJ754" s="42">
        <f>SUM(AA755:AA755)</f>
        <v>0</v>
      </c>
      <c r="AK754" s="42">
        <f>SUM(AB755:AB755)</f>
        <v>0</v>
      </c>
    </row>
    <row r="755" spans="1:43" ht="12.75">
      <c r="A755" s="5" t="s">
        <v>440</v>
      </c>
      <c r="B755" s="5" t="s">
        <v>590</v>
      </c>
      <c r="C755" s="5" t="s">
        <v>836</v>
      </c>
      <c r="D755" s="5" t="s">
        <v>1289</v>
      </c>
      <c r="E755" s="5" t="s">
        <v>1499</v>
      </c>
      <c r="F755" s="22">
        <v>1</v>
      </c>
      <c r="G755" s="22">
        <v>0</v>
      </c>
      <c r="H755" s="22">
        <f>F755*AE755</f>
        <v>0</v>
      </c>
      <c r="I755" s="22">
        <f>J755-H755</f>
        <v>0</v>
      </c>
      <c r="J755" s="22">
        <f>F755*G755</f>
        <v>0</v>
      </c>
      <c r="K755" s="22">
        <v>0</v>
      </c>
      <c r="L755" s="22">
        <f>F755*K755</f>
        <v>0</v>
      </c>
      <c r="M755" s="35" t="s">
        <v>1523</v>
      </c>
      <c r="N755" s="35" t="s">
        <v>11</v>
      </c>
      <c r="O755" s="22">
        <f>IF(N755="5",I755,0)</f>
        <v>0</v>
      </c>
      <c r="Z755" s="22">
        <f>IF(AD755=0,J755,0)</f>
        <v>0</v>
      </c>
      <c r="AA755" s="22">
        <f>IF(AD755=15,J755,0)</f>
        <v>0</v>
      </c>
      <c r="AB755" s="22">
        <f>IF(AD755=21,J755,0)</f>
        <v>0</v>
      </c>
      <c r="AD755" s="39">
        <v>15</v>
      </c>
      <c r="AE755" s="39">
        <f>G755*0</f>
        <v>0</v>
      </c>
      <c r="AF755" s="39">
        <f>G755*(1-0)</f>
        <v>0</v>
      </c>
      <c r="AM755" s="39">
        <f>F755*AE755</f>
        <v>0</v>
      </c>
      <c r="AN755" s="39">
        <f>F755*AF755</f>
        <v>0</v>
      </c>
      <c r="AO755" s="40" t="s">
        <v>1557</v>
      </c>
      <c r="AP755" s="40" t="s">
        <v>1602</v>
      </c>
      <c r="AQ755" s="31" t="s">
        <v>1609</v>
      </c>
    </row>
    <row r="756" spans="1:37" ht="12.75">
      <c r="A756" s="4"/>
      <c r="B756" s="14" t="s">
        <v>590</v>
      </c>
      <c r="C756" s="14" t="s">
        <v>837</v>
      </c>
      <c r="D756" s="104" t="s">
        <v>1236</v>
      </c>
      <c r="E756" s="105"/>
      <c r="F756" s="105"/>
      <c r="G756" s="105"/>
      <c r="H756" s="42">
        <f>SUM(H757:H757)</f>
        <v>0</v>
      </c>
      <c r="I756" s="42">
        <f>SUM(I757:I757)</f>
        <v>0</v>
      </c>
      <c r="J756" s="42">
        <f>H756+I756</f>
        <v>0</v>
      </c>
      <c r="K756" s="31"/>
      <c r="L756" s="42">
        <f>SUM(L757:L757)</f>
        <v>0</v>
      </c>
      <c r="M756" s="31"/>
      <c r="P756" s="42">
        <f>IF(Q756="PR",J756,SUM(O757:O757))</f>
        <v>0</v>
      </c>
      <c r="Q756" s="31" t="s">
        <v>1529</v>
      </c>
      <c r="R756" s="42">
        <f>IF(Q756="HS",H756,0)</f>
        <v>0</v>
      </c>
      <c r="S756" s="42">
        <f>IF(Q756="HS",I756-P756,0)</f>
        <v>0</v>
      </c>
      <c r="T756" s="42">
        <f>IF(Q756="PS",H756,0)</f>
        <v>0</v>
      </c>
      <c r="U756" s="42">
        <f>IF(Q756="PS",I756-P756,0)</f>
        <v>0</v>
      </c>
      <c r="V756" s="42">
        <f>IF(Q756="MP",H756,0)</f>
        <v>0</v>
      </c>
      <c r="W756" s="42">
        <f>IF(Q756="MP",I756-P756,0)</f>
        <v>0</v>
      </c>
      <c r="X756" s="42">
        <f>IF(Q756="OM",H756,0)</f>
        <v>0</v>
      </c>
      <c r="Y756" s="31" t="s">
        <v>590</v>
      </c>
      <c r="AI756" s="42">
        <f>SUM(Z757:Z757)</f>
        <v>0</v>
      </c>
      <c r="AJ756" s="42">
        <f>SUM(AA757:AA757)</f>
        <v>0</v>
      </c>
      <c r="AK756" s="42">
        <f>SUM(AB757:AB757)</f>
        <v>0</v>
      </c>
    </row>
    <row r="757" spans="1:43" ht="12.75">
      <c r="A757" s="5" t="s">
        <v>441</v>
      </c>
      <c r="B757" s="5" t="s">
        <v>590</v>
      </c>
      <c r="C757" s="5" t="s">
        <v>838</v>
      </c>
      <c r="D757" s="5" t="s">
        <v>1290</v>
      </c>
      <c r="E757" s="5" t="s">
        <v>1499</v>
      </c>
      <c r="F757" s="22">
        <v>1</v>
      </c>
      <c r="G757" s="22">
        <v>0</v>
      </c>
      <c r="H757" s="22">
        <f>F757*AE757</f>
        <v>0</v>
      </c>
      <c r="I757" s="22">
        <f>J757-H757</f>
        <v>0</v>
      </c>
      <c r="J757" s="22">
        <f>F757*G757</f>
        <v>0</v>
      </c>
      <c r="K757" s="22">
        <v>0</v>
      </c>
      <c r="L757" s="22">
        <f>F757*K757</f>
        <v>0</v>
      </c>
      <c r="M757" s="35" t="s">
        <v>1523</v>
      </c>
      <c r="N757" s="35" t="s">
        <v>11</v>
      </c>
      <c r="O757" s="22">
        <f>IF(N757="5",I757,0)</f>
        <v>0</v>
      </c>
      <c r="Z757" s="22">
        <f>IF(AD757=0,J757,0)</f>
        <v>0</v>
      </c>
      <c r="AA757" s="22">
        <f>IF(AD757=15,J757,0)</f>
        <v>0</v>
      </c>
      <c r="AB757" s="22">
        <f>IF(AD757=21,J757,0)</f>
        <v>0</v>
      </c>
      <c r="AD757" s="39">
        <v>15</v>
      </c>
      <c r="AE757" s="39">
        <f>G757*0</f>
        <v>0</v>
      </c>
      <c r="AF757" s="39">
        <f>G757*(1-0)</f>
        <v>0</v>
      </c>
      <c r="AM757" s="39">
        <f>F757*AE757</f>
        <v>0</v>
      </c>
      <c r="AN757" s="39">
        <f>F757*AF757</f>
        <v>0</v>
      </c>
      <c r="AO757" s="40" t="s">
        <v>1586</v>
      </c>
      <c r="AP757" s="40" t="s">
        <v>1602</v>
      </c>
      <c r="AQ757" s="31" t="s">
        <v>1609</v>
      </c>
    </row>
    <row r="758" spans="1:37" ht="12.75">
      <c r="A758" s="4"/>
      <c r="B758" s="14" t="s">
        <v>590</v>
      </c>
      <c r="C758" s="14" t="s">
        <v>659</v>
      </c>
      <c r="D758" s="104" t="s">
        <v>1036</v>
      </c>
      <c r="E758" s="105"/>
      <c r="F758" s="105"/>
      <c r="G758" s="105"/>
      <c r="H758" s="42">
        <f>SUM(H759:H795)</f>
        <v>0</v>
      </c>
      <c r="I758" s="42">
        <f>SUM(I759:I795)</f>
        <v>0</v>
      </c>
      <c r="J758" s="42">
        <f>H758+I758</f>
        <v>0</v>
      </c>
      <c r="K758" s="31"/>
      <c r="L758" s="42">
        <f>SUM(L759:L795)</f>
        <v>0.28154999999999997</v>
      </c>
      <c r="M758" s="31"/>
      <c r="P758" s="42">
        <f>IF(Q758="PR",J758,SUM(O759:O795))</f>
        <v>0</v>
      </c>
      <c r="Q758" s="31" t="s">
        <v>1531</v>
      </c>
      <c r="R758" s="42">
        <f>IF(Q758="HS",H758,0)</f>
        <v>0</v>
      </c>
      <c r="S758" s="42">
        <f>IF(Q758="HS",I758-P758,0)</f>
        <v>0</v>
      </c>
      <c r="T758" s="42">
        <f>IF(Q758="PS",H758,0)</f>
        <v>0</v>
      </c>
      <c r="U758" s="42">
        <f>IF(Q758="PS",I758-P758,0)</f>
        <v>0</v>
      </c>
      <c r="V758" s="42">
        <f>IF(Q758="MP",H758,0)</f>
        <v>0</v>
      </c>
      <c r="W758" s="42">
        <f>IF(Q758="MP",I758-P758,0)</f>
        <v>0</v>
      </c>
      <c r="X758" s="42">
        <f>IF(Q758="OM",H758,0)</f>
        <v>0</v>
      </c>
      <c r="Y758" s="31" t="s">
        <v>590</v>
      </c>
      <c r="AI758" s="42">
        <f>SUM(Z759:Z795)</f>
        <v>0</v>
      </c>
      <c r="AJ758" s="42">
        <f>SUM(AA759:AA795)</f>
        <v>0</v>
      </c>
      <c r="AK758" s="42">
        <f>SUM(AB759:AB795)</f>
        <v>0</v>
      </c>
    </row>
    <row r="759" spans="1:43" ht="12.75">
      <c r="A759" s="5" t="s">
        <v>442</v>
      </c>
      <c r="B759" s="5" t="s">
        <v>590</v>
      </c>
      <c r="C759" s="5" t="s">
        <v>841</v>
      </c>
      <c r="D759" s="5" t="s">
        <v>1293</v>
      </c>
      <c r="E759" s="5" t="s">
        <v>1494</v>
      </c>
      <c r="F759" s="22">
        <v>3</v>
      </c>
      <c r="G759" s="22">
        <v>0</v>
      </c>
      <c r="H759" s="22">
        <f aca="true" t="shared" si="168" ref="H759:H795">F759*AE759</f>
        <v>0</v>
      </c>
      <c r="I759" s="22">
        <f aca="true" t="shared" si="169" ref="I759:I795">J759-H759</f>
        <v>0</v>
      </c>
      <c r="J759" s="22">
        <f aca="true" t="shared" si="170" ref="J759:J795">F759*G759</f>
        <v>0</v>
      </c>
      <c r="K759" s="22">
        <v>0</v>
      </c>
      <c r="L759" s="22">
        <f aca="true" t="shared" si="171" ref="L759:L795">F759*K759</f>
        <v>0</v>
      </c>
      <c r="M759" s="35" t="s">
        <v>1523</v>
      </c>
      <c r="N759" s="35" t="s">
        <v>8</v>
      </c>
      <c r="O759" s="22">
        <f aca="true" t="shared" si="172" ref="O759:O795">IF(N759="5",I759,0)</f>
        <v>0</v>
      </c>
      <c r="Z759" s="22">
        <f aca="true" t="shared" si="173" ref="Z759:Z795">IF(AD759=0,J759,0)</f>
        <v>0</v>
      </c>
      <c r="AA759" s="22">
        <f aca="true" t="shared" si="174" ref="AA759:AA795">IF(AD759=15,J759,0)</f>
        <v>0</v>
      </c>
      <c r="AB759" s="22">
        <f aca="true" t="shared" si="175" ref="AB759:AB795">IF(AD759=21,J759,0)</f>
        <v>0</v>
      </c>
      <c r="AD759" s="39">
        <v>15</v>
      </c>
      <c r="AE759" s="39">
        <f aca="true" t="shared" si="176" ref="AE759:AE764">G759*1</f>
        <v>0</v>
      </c>
      <c r="AF759" s="39">
        <f aca="true" t="shared" si="177" ref="AF759:AF764">G759*(1-1)</f>
        <v>0</v>
      </c>
      <c r="AM759" s="39">
        <f aca="true" t="shared" si="178" ref="AM759:AM795">F759*AE759</f>
        <v>0</v>
      </c>
      <c r="AN759" s="39">
        <f aca="true" t="shared" si="179" ref="AN759:AN795">F759*AF759</f>
        <v>0</v>
      </c>
      <c r="AO759" s="40" t="s">
        <v>1559</v>
      </c>
      <c r="AP759" s="40" t="s">
        <v>1602</v>
      </c>
      <c r="AQ759" s="31" t="s">
        <v>1609</v>
      </c>
    </row>
    <row r="760" spans="1:43" ht="12.75">
      <c r="A760" s="5" t="s">
        <v>443</v>
      </c>
      <c r="B760" s="5" t="s">
        <v>590</v>
      </c>
      <c r="C760" s="5" t="s">
        <v>660</v>
      </c>
      <c r="D760" s="5" t="s">
        <v>1037</v>
      </c>
      <c r="E760" s="5" t="s">
        <v>1495</v>
      </c>
      <c r="F760" s="22">
        <v>45</v>
      </c>
      <c r="G760" s="22">
        <v>0</v>
      </c>
      <c r="H760" s="22">
        <f t="shared" si="168"/>
        <v>0</v>
      </c>
      <c r="I760" s="22">
        <f t="shared" si="169"/>
        <v>0</v>
      </c>
      <c r="J760" s="22">
        <f t="shared" si="170"/>
        <v>0</v>
      </c>
      <c r="K760" s="22">
        <v>0</v>
      </c>
      <c r="L760" s="22">
        <f t="shared" si="171"/>
        <v>0</v>
      </c>
      <c r="M760" s="35" t="s">
        <v>1523</v>
      </c>
      <c r="N760" s="35" t="s">
        <v>8</v>
      </c>
      <c r="O760" s="22">
        <f t="shared" si="172"/>
        <v>0</v>
      </c>
      <c r="Z760" s="22">
        <f t="shared" si="173"/>
        <v>0</v>
      </c>
      <c r="AA760" s="22">
        <f t="shared" si="174"/>
        <v>0</v>
      </c>
      <c r="AB760" s="22">
        <f t="shared" si="175"/>
        <v>0</v>
      </c>
      <c r="AD760" s="39">
        <v>15</v>
      </c>
      <c r="AE760" s="39">
        <f t="shared" si="176"/>
        <v>0</v>
      </c>
      <c r="AF760" s="39">
        <f t="shared" si="177"/>
        <v>0</v>
      </c>
      <c r="AM760" s="39">
        <f t="shared" si="178"/>
        <v>0</v>
      </c>
      <c r="AN760" s="39">
        <f t="shared" si="179"/>
        <v>0</v>
      </c>
      <c r="AO760" s="40" t="s">
        <v>1559</v>
      </c>
      <c r="AP760" s="40" t="s">
        <v>1602</v>
      </c>
      <c r="AQ760" s="31" t="s">
        <v>1609</v>
      </c>
    </row>
    <row r="761" spans="1:43" ht="12.75">
      <c r="A761" s="5" t="s">
        <v>444</v>
      </c>
      <c r="B761" s="5" t="s">
        <v>590</v>
      </c>
      <c r="C761" s="5" t="s">
        <v>842</v>
      </c>
      <c r="D761" s="5" t="s">
        <v>1294</v>
      </c>
      <c r="E761" s="5" t="s">
        <v>1495</v>
      </c>
      <c r="F761" s="22">
        <v>30</v>
      </c>
      <c r="G761" s="22">
        <v>0</v>
      </c>
      <c r="H761" s="22">
        <f t="shared" si="168"/>
        <v>0</v>
      </c>
      <c r="I761" s="22">
        <f t="shared" si="169"/>
        <v>0</v>
      </c>
      <c r="J761" s="22">
        <f t="shared" si="170"/>
        <v>0</v>
      </c>
      <c r="K761" s="22">
        <v>0</v>
      </c>
      <c r="L761" s="22">
        <f t="shared" si="171"/>
        <v>0</v>
      </c>
      <c r="M761" s="35" t="s">
        <v>1523</v>
      </c>
      <c r="N761" s="35" t="s">
        <v>8</v>
      </c>
      <c r="O761" s="22">
        <f t="shared" si="172"/>
        <v>0</v>
      </c>
      <c r="Z761" s="22">
        <f t="shared" si="173"/>
        <v>0</v>
      </c>
      <c r="AA761" s="22">
        <f t="shared" si="174"/>
        <v>0</v>
      </c>
      <c r="AB761" s="22">
        <f t="shared" si="175"/>
        <v>0</v>
      </c>
      <c r="AD761" s="39">
        <v>15</v>
      </c>
      <c r="AE761" s="39">
        <f t="shared" si="176"/>
        <v>0</v>
      </c>
      <c r="AF761" s="39">
        <f t="shared" si="177"/>
        <v>0</v>
      </c>
      <c r="AM761" s="39">
        <f t="shared" si="178"/>
        <v>0</v>
      </c>
      <c r="AN761" s="39">
        <f t="shared" si="179"/>
        <v>0</v>
      </c>
      <c r="AO761" s="40" t="s">
        <v>1559</v>
      </c>
      <c r="AP761" s="40" t="s">
        <v>1602</v>
      </c>
      <c r="AQ761" s="31" t="s">
        <v>1609</v>
      </c>
    </row>
    <row r="762" spans="1:43" ht="12.75">
      <c r="A762" s="5" t="s">
        <v>445</v>
      </c>
      <c r="B762" s="5" t="s">
        <v>590</v>
      </c>
      <c r="C762" s="5" t="s">
        <v>843</v>
      </c>
      <c r="D762" s="5" t="s">
        <v>1295</v>
      </c>
      <c r="E762" s="5" t="s">
        <v>1495</v>
      </c>
      <c r="F762" s="22">
        <v>18</v>
      </c>
      <c r="G762" s="22">
        <v>0</v>
      </c>
      <c r="H762" s="22">
        <f t="shared" si="168"/>
        <v>0</v>
      </c>
      <c r="I762" s="22">
        <f t="shared" si="169"/>
        <v>0</v>
      </c>
      <c r="J762" s="22">
        <f t="shared" si="170"/>
        <v>0</v>
      </c>
      <c r="K762" s="22">
        <v>0</v>
      </c>
      <c r="L762" s="22">
        <f t="shared" si="171"/>
        <v>0</v>
      </c>
      <c r="M762" s="35" t="s">
        <v>1523</v>
      </c>
      <c r="N762" s="35" t="s">
        <v>8</v>
      </c>
      <c r="O762" s="22">
        <f t="shared" si="172"/>
        <v>0</v>
      </c>
      <c r="Z762" s="22">
        <f t="shared" si="173"/>
        <v>0</v>
      </c>
      <c r="AA762" s="22">
        <f t="shared" si="174"/>
        <v>0</v>
      </c>
      <c r="AB762" s="22">
        <f t="shared" si="175"/>
        <v>0</v>
      </c>
      <c r="AD762" s="39">
        <v>15</v>
      </c>
      <c r="AE762" s="39">
        <f t="shared" si="176"/>
        <v>0</v>
      </c>
      <c r="AF762" s="39">
        <f t="shared" si="177"/>
        <v>0</v>
      </c>
      <c r="AM762" s="39">
        <f t="shared" si="178"/>
        <v>0</v>
      </c>
      <c r="AN762" s="39">
        <f t="shared" si="179"/>
        <v>0</v>
      </c>
      <c r="AO762" s="40" t="s">
        <v>1559</v>
      </c>
      <c r="AP762" s="40" t="s">
        <v>1602</v>
      </c>
      <c r="AQ762" s="31" t="s">
        <v>1609</v>
      </c>
    </row>
    <row r="763" spans="1:43" ht="12.75">
      <c r="A763" s="5" t="s">
        <v>446</v>
      </c>
      <c r="B763" s="5" t="s">
        <v>590</v>
      </c>
      <c r="C763" s="5" t="s">
        <v>847</v>
      </c>
      <c r="D763" s="5" t="s">
        <v>1300</v>
      </c>
      <c r="E763" s="5" t="s">
        <v>1494</v>
      </c>
      <c r="F763" s="22">
        <v>3</v>
      </c>
      <c r="G763" s="22">
        <v>0</v>
      </c>
      <c r="H763" s="22">
        <f t="shared" si="168"/>
        <v>0</v>
      </c>
      <c r="I763" s="22">
        <f t="shared" si="169"/>
        <v>0</v>
      </c>
      <c r="J763" s="22">
        <f t="shared" si="170"/>
        <v>0</v>
      </c>
      <c r="K763" s="22">
        <v>0.00039</v>
      </c>
      <c r="L763" s="22">
        <f t="shared" si="171"/>
        <v>0.00117</v>
      </c>
      <c r="M763" s="35" t="s">
        <v>1523</v>
      </c>
      <c r="N763" s="35" t="s">
        <v>8</v>
      </c>
      <c r="O763" s="22">
        <f t="shared" si="172"/>
        <v>0</v>
      </c>
      <c r="Z763" s="22">
        <f t="shared" si="173"/>
        <v>0</v>
      </c>
      <c r="AA763" s="22">
        <f t="shared" si="174"/>
        <v>0</v>
      </c>
      <c r="AB763" s="22">
        <f t="shared" si="175"/>
        <v>0</v>
      </c>
      <c r="AD763" s="39">
        <v>15</v>
      </c>
      <c r="AE763" s="39">
        <f t="shared" si="176"/>
        <v>0</v>
      </c>
      <c r="AF763" s="39">
        <f t="shared" si="177"/>
        <v>0</v>
      </c>
      <c r="AM763" s="39">
        <f t="shared" si="178"/>
        <v>0</v>
      </c>
      <c r="AN763" s="39">
        <f t="shared" si="179"/>
        <v>0</v>
      </c>
      <c r="AO763" s="40" t="s">
        <v>1559</v>
      </c>
      <c r="AP763" s="40" t="s">
        <v>1602</v>
      </c>
      <c r="AQ763" s="31" t="s">
        <v>1609</v>
      </c>
    </row>
    <row r="764" spans="1:43" ht="12.75">
      <c r="A764" s="5" t="s">
        <v>447</v>
      </c>
      <c r="B764" s="5" t="s">
        <v>590</v>
      </c>
      <c r="C764" s="5" t="s">
        <v>661</v>
      </c>
      <c r="D764" s="5" t="s">
        <v>1038</v>
      </c>
      <c r="E764" s="5" t="s">
        <v>1494</v>
      </c>
      <c r="F764" s="22">
        <v>24</v>
      </c>
      <c r="G764" s="22">
        <v>0</v>
      </c>
      <c r="H764" s="22">
        <f t="shared" si="168"/>
        <v>0</v>
      </c>
      <c r="I764" s="22">
        <f t="shared" si="169"/>
        <v>0</v>
      </c>
      <c r="J764" s="22">
        <f t="shared" si="170"/>
        <v>0</v>
      </c>
      <c r="K764" s="22">
        <v>0</v>
      </c>
      <c r="L764" s="22">
        <f t="shared" si="171"/>
        <v>0</v>
      </c>
      <c r="M764" s="35" t="s">
        <v>1523</v>
      </c>
      <c r="N764" s="35" t="s">
        <v>8</v>
      </c>
      <c r="O764" s="22">
        <f t="shared" si="172"/>
        <v>0</v>
      </c>
      <c r="Z764" s="22">
        <f t="shared" si="173"/>
        <v>0</v>
      </c>
      <c r="AA764" s="22">
        <f t="shared" si="174"/>
        <v>0</v>
      </c>
      <c r="AB764" s="22">
        <f t="shared" si="175"/>
        <v>0</v>
      </c>
      <c r="AD764" s="39">
        <v>15</v>
      </c>
      <c r="AE764" s="39">
        <f t="shared" si="176"/>
        <v>0</v>
      </c>
      <c r="AF764" s="39">
        <f t="shared" si="177"/>
        <v>0</v>
      </c>
      <c r="AM764" s="39">
        <f t="shared" si="178"/>
        <v>0</v>
      </c>
      <c r="AN764" s="39">
        <f t="shared" si="179"/>
        <v>0</v>
      </c>
      <c r="AO764" s="40" t="s">
        <v>1559</v>
      </c>
      <c r="AP764" s="40" t="s">
        <v>1602</v>
      </c>
      <c r="AQ764" s="31" t="s">
        <v>1609</v>
      </c>
    </row>
    <row r="765" spans="1:43" ht="12.75">
      <c r="A765" s="5" t="s">
        <v>448</v>
      </c>
      <c r="B765" s="5" t="s">
        <v>590</v>
      </c>
      <c r="C765" s="5" t="s">
        <v>662</v>
      </c>
      <c r="D765" s="5" t="s">
        <v>1039</v>
      </c>
      <c r="E765" s="5" t="s">
        <v>1494</v>
      </c>
      <c r="F765" s="22">
        <v>3</v>
      </c>
      <c r="G765" s="22">
        <v>0</v>
      </c>
      <c r="H765" s="22">
        <f t="shared" si="168"/>
        <v>0</v>
      </c>
      <c r="I765" s="22">
        <f t="shared" si="169"/>
        <v>0</v>
      </c>
      <c r="J765" s="22">
        <f t="shared" si="170"/>
        <v>0</v>
      </c>
      <c r="K765" s="22">
        <v>0</v>
      </c>
      <c r="L765" s="22">
        <f t="shared" si="171"/>
        <v>0</v>
      </c>
      <c r="M765" s="35" t="s">
        <v>1523</v>
      </c>
      <c r="N765" s="35" t="s">
        <v>8</v>
      </c>
      <c r="O765" s="22">
        <f t="shared" si="172"/>
        <v>0</v>
      </c>
      <c r="Z765" s="22">
        <f t="shared" si="173"/>
        <v>0</v>
      </c>
      <c r="AA765" s="22">
        <f t="shared" si="174"/>
        <v>0</v>
      </c>
      <c r="AB765" s="22">
        <f t="shared" si="175"/>
        <v>0</v>
      </c>
      <c r="AD765" s="39">
        <v>15</v>
      </c>
      <c r="AE765" s="39">
        <f>G765*0</f>
        <v>0</v>
      </c>
      <c r="AF765" s="39">
        <f>G765*(1-0)</f>
        <v>0</v>
      </c>
      <c r="AM765" s="39">
        <f t="shared" si="178"/>
        <v>0</v>
      </c>
      <c r="AN765" s="39">
        <f t="shared" si="179"/>
        <v>0</v>
      </c>
      <c r="AO765" s="40" t="s">
        <v>1559</v>
      </c>
      <c r="AP765" s="40" t="s">
        <v>1602</v>
      </c>
      <c r="AQ765" s="31" t="s">
        <v>1609</v>
      </c>
    </row>
    <row r="766" spans="1:43" ht="12.75">
      <c r="A766" s="5" t="s">
        <v>449</v>
      </c>
      <c r="B766" s="5" t="s">
        <v>590</v>
      </c>
      <c r="C766" s="5" t="s">
        <v>663</v>
      </c>
      <c r="D766" s="5" t="s">
        <v>1301</v>
      </c>
      <c r="E766" s="5" t="s">
        <v>1494</v>
      </c>
      <c r="F766" s="22">
        <v>3</v>
      </c>
      <c r="G766" s="22">
        <v>0</v>
      </c>
      <c r="H766" s="22">
        <f t="shared" si="168"/>
        <v>0</v>
      </c>
      <c r="I766" s="22">
        <f t="shared" si="169"/>
        <v>0</v>
      </c>
      <c r="J766" s="22">
        <f t="shared" si="170"/>
        <v>0</v>
      </c>
      <c r="K766" s="22">
        <v>0</v>
      </c>
      <c r="L766" s="22">
        <f t="shared" si="171"/>
        <v>0</v>
      </c>
      <c r="M766" s="35" t="s">
        <v>1523</v>
      </c>
      <c r="N766" s="35" t="s">
        <v>8</v>
      </c>
      <c r="O766" s="22">
        <f t="shared" si="172"/>
        <v>0</v>
      </c>
      <c r="Z766" s="22">
        <f t="shared" si="173"/>
        <v>0</v>
      </c>
      <c r="AA766" s="22">
        <f t="shared" si="174"/>
        <v>0</v>
      </c>
      <c r="AB766" s="22">
        <f t="shared" si="175"/>
        <v>0</v>
      </c>
      <c r="AD766" s="39">
        <v>15</v>
      </c>
      <c r="AE766" s="39">
        <f>G766*0</f>
        <v>0</v>
      </c>
      <c r="AF766" s="39">
        <f>G766*(1-0)</f>
        <v>0</v>
      </c>
      <c r="AM766" s="39">
        <f t="shared" si="178"/>
        <v>0</v>
      </c>
      <c r="AN766" s="39">
        <f t="shared" si="179"/>
        <v>0</v>
      </c>
      <c r="AO766" s="40" t="s">
        <v>1559</v>
      </c>
      <c r="AP766" s="40" t="s">
        <v>1602</v>
      </c>
      <c r="AQ766" s="31" t="s">
        <v>1609</v>
      </c>
    </row>
    <row r="767" spans="1:43" ht="12.75">
      <c r="A767" s="5" t="s">
        <v>450</v>
      </c>
      <c r="B767" s="5" t="s">
        <v>590</v>
      </c>
      <c r="C767" s="5" t="s">
        <v>848</v>
      </c>
      <c r="D767" s="5" t="s">
        <v>1043</v>
      </c>
      <c r="E767" s="5" t="s">
        <v>1494</v>
      </c>
      <c r="F767" s="22">
        <v>3</v>
      </c>
      <c r="G767" s="22">
        <v>0</v>
      </c>
      <c r="H767" s="22">
        <f t="shared" si="168"/>
        <v>0</v>
      </c>
      <c r="I767" s="22">
        <f t="shared" si="169"/>
        <v>0</v>
      </c>
      <c r="J767" s="22">
        <f t="shared" si="170"/>
        <v>0</v>
      </c>
      <c r="K767" s="22">
        <v>0</v>
      </c>
      <c r="L767" s="22">
        <f t="shared" si="171"/>
        <v>0</v>
      </c>
      <c r="M767" s="35" t="s">
        <v>1523</v>
      </c>
      <c r="N767" s="35" t="s">
        <v>8</v>
      </c>
      <c r="O767" s="22">
        <f t="shared" si="172"/>
        <v>0</v>
      </c>
      <c r="Z767" s="22">
        <f t="shared" si="173"/>
        <v>0</v>
      </c>
      <c r="AA767" s="22">
        <f t="shared" si="174"/>
        <v>0</v>
      </c>
      <c r="AB767" s="22">
        <f t="shared" si="175"/>
        <v>0</v>
      </c>
      <c r="AD767" s="39">
        <v>15</v>
      </c>
      <c r="AE767" s="39">
        <f>G767*0</f>
        <v>0</v>
      </c>
      <c r="AF767" s="39">
        <f>G767*(1-0)</f>
        <v>0</v>
      </c>
      <c r="AM767" s="39">
        <f t="shared" si="178"/>
        <v>0</v>
      </c>
      <c r="AN767" s="39">
        <f t="shared" si="179"/>
        <v>0</v>
      </c>
      <c r="AO767" s="40" t="s">
        <v>1559</v>
      </c>
      <c r="AP767" s="40" t="s">
        <v>1602</v>
      </c>
      <c r="AQ767" s="31" t="s">
        <v>1609</v>
      </c>
    </row>
    <row r="768" spans="1:43" ht="12.75">
      <c r="A768" s="5" t="s">
        <v>451</v>
      </c>
      <c r="B768" s="5" t="s">
        <v>590</v>
      </c>
      <c r="C768" s="5" t="s">
        <v>664</v>
      </c>
      <c r="D768" s="5" t="s">
        <v>1302</v>
      </c>
      <c r="E768" s="5" t="s">
        <v>1501</v>
      </c>
      <c r="F768" s="22">
        <v>96</v>
      </c>
      <c r="G768" s="22">
        <v>0</v>
      </c>
      <c r="H768" s="22">
        <f t="shared" si="168"/>
        <v>0</v>
      </c>
      <c r="I768" s="22">
        <f t="shared" si="169"/>
        <v>0</v>
      </c>
      <c r="J768" s="22">
        <f t="shared" si="170"/>
        <v>0</v>
      </c>
      <c r="K768" s="22">
        <v>0</v>
      </c>
      <c r="L768" s="22">
        <f t="shared" si="171"/>
        <v>0</v>
      </c>
      <c r="M768" s="35" t="s">
        <v>1523</v>
      </c>
      <c r="N768" s="35" t="s">
        <v>8</v>
      </c>
      <c r="O768" s="22">
        <f t="shared" si="172"/>
        <v>0</v>
      </c>
      <c r="Z768" s="22">
        <f t="shared" si="173"/>
        <v>0</v>
      </c>
      <c r="AA768" s="22">
        <f t="shared" si="174"/>
        <v>0</v>
      </c>
      <c r="AB768" s="22">
        <f t="shared" si="175"/>
        <v>0</v>
      </c>
      <c r="AD768" s="39">
        <v>15</v>
      </c>
      <c r="AE768" s="39">
        <f>G768*0</f>
        <v>0</v>
      </c>
      <c r="AF768" s="39">
        <f>G768*(1-0)</f>
        <v>0</v>
      </c>
      <c r="AM768" s="39">
        <f t="shared" si="178"/>
        <v>0</v>
      </c>
      <c r="AN768" s="39">
        <f t="shared" si="179"/>
        <v>0</v>
      </c>
      <c r="AO768" s="40" t="s">
        <v>1559</v>
      </c>
      <c r="AP768" s="40" t="s">
        <v>1602</v>
      </c>
      <c r="AQ768" s="31" t="s">
        <v>1609</v>
      </c>
    </row>
    <row r="769" spans="1:43" ht="12.75">
      <c r="A769" s="5" t="s">
        <v>452</v>
      </c>
      <c r="B769" s="5" t="s">
        <v>590</v>
      </c>
      <c r="C769" s="5" t="s">
        <v>665</v>
      </c>
      <c r="D769" s="5" t="s">
        <v>1047</v>
      </c>
      <c r="E769" s="5" t="s">
        <v>1494</v>
      </c>
      <c r="F769" s="22">
        <v>21</v>
      </c>
      <c r="G769" s="22">
        <v>0</v>
      </c>
      <c r="H769" s="22">
        <f t="shared" si="168"/>
        <v>0</v>
      </c>
      <c r="I769" s="22">
        <f t="shared" si="169"/>
        <v>0</v>
      </c>
      <c r="J769" s="22">
        <f t="shared" si="170"/>
        <v>0</v>
      </c>
      <c r="K769" s="22">
        <v>0</v>
      </c>
      <c r="L769" s="22">
        <f t="shared" si="171"/>
        <v>0</v>
      </c>
      <c r="M769" s="35" t="s">
        <v>1523</v>
      </c>
      <c r="N769" s="35" t="s">
        <v>8</v>
      </c>
      <c r="O769" s="22">
        <f t="shared" si="172"/>
        <v>0</v>
      </c>
      <c r="Z769" s="22">
        <f t="shared" si="173"/>
        <v>0</v>
      </c>
      <c r="AA769" s="22">
        <f t="shared" si="174"/>
        <v>0</v>
      </c>
      <c r="AB769" s="22">
        <f t="shared" si="175"/>
        <v>0</v>
      </c>
      <c r="AD769" s="39">
        <v>15</v>
      </c>
      <c r="AE769" s="39">
        <f aca="true" t="shared" si="180" ref="AE769:AE795">G769*1</f>
        <v>0</v>
      </c>
      <c r="AF769" s="39">
        <f aca="true" t="shared" si="181" ref="AF769:AF795">G769*(1-1)</f>
        <v>0</v>
      </c>
      <c r="AM769" s="39">
        <f t="shared" si="178"/>
        <v>0</v>
      </c>
      <c r="AN769" s="39">
        <f t="shared" si="179"/>
        <v>0</v>
      </c>
      <c r="AO769" s="40" t="s">
        <v>1559</v>
      </c>
      <c r="AP769" s="40" t="s">
        <v>1602</v>
      </c>
      <c r="AQ769" s="31" t="s">
        <v>1609</v>
      </c>
    </row>
    <row r="770" spans="1:43" ht="12.75">
      <c r="A770" s="5" t="s">
        <v>453</v>
      </c>
      <c r="B770" s="5" t="s">
        <v>590</v>
      </c>
      <c r="C770" s="5" t="s">
        <v>849</v>
      </c>
      <c r="D770" s="5" t="s">
        <v>1303</v>
      </c>
      <c r="E770" s="5" t="s">
        <v>1495</v>
      </c>
      <c r="F770" s="22">
        <v>45</v>
      </c>
      <c r="G770" s="22">
        <v>0</v>
      </c>
      <c r="H770" s="22">
        <f t="shared" si="168"/>
        <v>0</v>
      </c>
      <c r="I770" s="22">
        <f t="shared" si="169"/>
        <v>0</v>
      </c>
      <c r="J770" s="22">
        <f t="shared" si="170"/>
        <v>0</v>
      </c>
      <c r="K770" s="22">
        <v>0</v>
      </c>
      <c r="L770" s="22">
        <f t="shared" si="171"/>
        <v>0</v>
      </c>
      <c r="M770" s="35" t="s">
        <v>1523</v>
      </c>
      <c r="N770" s="35" t="s">
        <v>8</v>
      </c>
      <c r="O770" s="22">
        <f t="shared" si="172"/>
        <v>0</v>
      </c>
      <c r="Z770" s="22">
        <f t="shared" si="173"/>
        <v>0</v>
      </c>
      <c r="AA770" s="22">
        <f t="shared" si="174"/>
        <v>0</v>
      </c>
      <c r="AB770" s="22">
        <f t="shared" si="175"/>
        <v>0</v>
      </c>
      <c r="AD770" s="39">
        <v>15</v>
      </c>
      <c r="AE770" s="39">
        <f t="shared" si="180"/>
        <v>0</v>
      </c>
      <c r="AF770" s="39">
        <f t="shared" si="181"/>
        <v>0</v>
      </c>
      <c r="AM770" s="39">
        <f t="shared" si="178"/>
        <v>0</v>
      </c>
      <c r="AN770" s="39">
        <f t="shared" si="179"/>
        <v>0</v>
      </c>
      <c r="AO770" s="40" t="s">
        <v>1559</v>
      </c>
      <c r="AP770" s="40" t="s">
        <v>1602</v>
      </c>
      <c r="AQ770" s="31" t="s">
        <v>1609</v>
      </c>
    </row>
    <row r="771" spans="1:43" ht="12.75">
      <c r="A771" s="5" t="s">
        <v>454</v>
      </c>
      <c r="B771" s="5" t="s">
        <v>590</v>
      </c>
      <c r="C771" s="5" t="s">
        <v>850</v>
      </c>
      <c r="D771" s="5" t="s">
        <v>1304</v>
      </c>
      <c r="E771" s="5" t="s">
        <v>1494</v>
      </c>
      <c r="F771" s="22">
        <v>12</v>
      </c>
      <c r="G771" s="22">
        <v>0</v>
      </c>
      <c r="H771" s="22">
        <f t="shared" si="168"/>
        <v>0</v>
      </c>
      <c r="I771" s="22">
        <f t="shared" si="169"/>
        <v>0</v>
      </c>
      <c r="J771" s="22">
        <f t="shared" si="170"/>
        <v>0</v>
      </c>
      <c r="K771" s="22">
        <v>0</v>
      </c>
      <c r="L771" s="22">
        <f t="shared" si="171"/>
        <v>0</v>
      </c>
      <c r="M771" s="35" t="s">
        <v>1523</v>
      </c>
      <c r="N771" s="35" t="s">
        <v>8</v>
      </c>
      <c r="O771" s="22">
        <f t="shared" si="172"/>
        <v>0</v>
      </c>
      <c r="Z771" s="22">
        <f t="shared" si="173"/>
        <v>0</v>
      </c>
      <c r="AA771" s="22">
        <f t="shared" si="174"/>
        <v>0</v>
      </c>
      <c r="AB771" s="22">
        <f t="shared" si="175"/>
        <v>0</v>
      </c>
      <c r="AD771" s="39">
        <v>15</v>
      </c>
      <c r="AE771" s="39">
        <f t="shared" si="180"/>
        <v>0</v>
      </c>
      <c r="AF771" s="39">
        <f t="shared" si="181"/>
        <v>0</v>
      </c>
      <c r="AM771" s="39">
        <f t="shared" si="178"/>
        <v>0</v>
      </c>
      <c r="AN771" s="39">
        <f t="shared" si="179"/>
        <v>0</v>
      </c>
      <c r="AO771" s="40" t="s">
        <v>1559</v>
      </c>
      <c r="AP771" s="40" t="s">
        <v>1602</v>
      </c>
      <c r="AQ771" s="31" t="s">
        <v>1609</v>
      </c>
    </row>
    <row r="772" spans="1:43" ht="12.75">
      <c r="A772" s="5" t="s">
        <v>455</v>
      </c>
      <c r="B772" s="5" t="s">
        <v>590</v>
      </c>
      <c r="C772" s="5" t="s">
        <v>851</v>
      </c>
      <c r="D772" s="5" t="s">
        <v>1305</v>
      </c>
      <c r="E772" s="5" t="s">
        <v>1494</v>
      </c>
      <c r="F772" s="22">
        <v>3</v>
      </c>
      <c r="G772" s="22">
        <v>0</v>
      </c>
      <c r="H772" s="22">
        <f t="shared" si="168"/>
        <v>0</v>
      </c>
      <c r="I772" s="22">
        <f t="shared" si="169"/>
        <v>0</v>
      </c>
      <c r="J772" s="22">
        <f t="shared" si="170"/>
        <v>0</v>
      </c>
      <c r="K772" s="22">
        <v>0</v>
      </c>
      <c r="L772" s="22">
        <f t="shared" si="171"/>
        <v>0</v>
      </c>
      <c r="M772" s="35" t="s">
        <v>1523</v>
      </c>
      <c r="N772" s="35" t="s">
        <v>8</v>
      </c>
      <c r="O772" s="22">
        <f t="shared" si="172"/>
        <v>0</v>
      </c>
      <c r="Z772" s="22">
        <f t="shared" si="173"/>
        <v>0</v>
      </c>
      <c r="AA772" s="22">
        <f t="shared" si="174"/>
        <v>0</v>
      </c>
      <c r="AB772" s="22">
        <f t="shared" si="175"/>
        <v>0</v>
      </c>
      <c r="AD772" s="39">
        <v>15</v>
      </c>
      <c r="AE772" s="39">
        <f t="shared" si="180"/>
        <v>0</v>
      </c>
      <c r="AF772" s="39">
        <f t="shared" si="181"/>
        <v>0</v>
      </c>
      <c r="AM772" s="39">
        <f t="shared" si="178"/>
        <v>0</v>
      </c>
      <c r="AN772" s="39">
        <f t="shared" si="179"/>
        <v>0</v>
      </c>
      <c r="AO772" s="40" t="s">
        <v>1559</v>
      </c>
      <c r="AP772" s="40" t="s">
        <v>1602</v>
      </c>
      <c r="AQ772" s="31" t="s">
        <v>1609</v>
      </c>
    </row>
    <row r="773" spans="1:43" ht="12.75">
      <c r="A773" s="5" t="s">
        <v>456</v>
      </c>
      <c r="B773" s="5" t="s">
        <v>590</v>
      </c>
      <c r="C773" s="5" t="s">
        <v>852</v>
      </c>
      <c r="D773" s="5" t="s">
        <v>1306</v>
      </c>
      <c r="E773" s="5" t="s">
        <v>1494</v>
      </c>
      <c r="F773" s="22">
        <v>3</v>
      </c>
      <c r="G773" s="22">
        <v>0</v>
      </c>
      <c r="H773" s="22">
        <f t="shared" si="168"/>
        <v>0</v>
      </c>
      <c r="I773" s="22">
        <f t="shared" si="169"/>
        <v>0</v>
      </c>
      <c r="J773" s="22">
        <f t="shared" si="170"/>
        <v>0</v>
      </c>
      <c r="K773" s="22">
        <v>0</v>
      </c>
      <c r="L773" s="22">
        <f t="shared" si="171"/>
        <v>0</v>
      </c>
      <c r="M773" s="35" t="s">
        <v>1523</v>
      </c>
      <c r="N773" s="35" t="s">
        <v>8</v>
      </c>
      <c r="O773" s="22">
        <f t="shared" si="172"/>
        <v>0</v>
      </c>
      <c r="Z773" s="22">
        <f t="shared" si="173"/>
        <v>0</v>
      </c>
      <c r="AA773" s="22">
        <f t="shared" si="174"/>
        <v>0</v>
      </c>
      <c r="AB773" s="22">
        <f t="shared" si="175"/>
        <v>0</v>
      </c>
      <c r="AD773" s="39">
        <v>15</v>
      </c>
      <c r="AE773" s="39">
        <f t="shared" si="180"/>
        <v>0</v>
      </c>
      <c r="AF773" s="39">
        <f t="shared" si="181"/>
        <v>0</v>
      </c>
      <c r="AM773" s="39">
        <f t="shared" si="178"/>
        <v>0</v>
      </c>
      <c r="AN773" s="39">
        <f t="shared" si="179"/>
        <v>0</v>
      </c>
      <c r="AO773" s="40" t="s">
        <v>1559</v>
      </c>
      <c r="AP773" s="40" t="s">
        <v>1602</v>
      </c>
      <c r="AQ773" s="31" t="s">
        <v>1609</v>
      </c>
    </row>
    <row r="774" spans="1:43" ht="12.75">
      <c r="A774" s="6" t="s">
        <v>457</v>
      </c>
      <c r="B774" s="6" t="s">
        <v>590</v>
      </c>
      <c r="C774" s="6" t="s">
        <v>666</v>
      </c>
      <c r="D774" s="6" t="s">
        <v>1048</v>
      </c>
      <c r="E774" s="6" t="s">
        <v>1494</v>
      </c>
      <c r="F774" s="24">
        <v>30</v>
      </c>
      <c r="G774" s="24">
        <v>0</v>
      </c>
      <c r="H774" s="24">
        <f t="shared" si="168"/>
        <v>0</v>
      </c>
      <c r="I774" s="24">
        <f t="shared" si="169"/>
        <v>0</v>
      </c>
      <c r="J774" s="24">
        <f t="shared" si="170"/>
        <v>0</v>
      </c>
      <c r="K774" s="24">
        <v>5E-05</v>
      </c>
      <c r="L774" s="24">
        <f t="shared" si="171"/>
        <v>0.0015</v>
      </c>
      <c r="M774" s="36" t="s">
        <v>1523</v>
      </c>
      <c r="N774" s="36" t="s">
        <v>1526</v>
      </c>
      <c r="O774" s="24">
        <f t="shared" si="172"/>
        <v>0</v>
      </c>
      <c r="Z774" s="24">
        <f t="shared" si="173"/>
        <v>0</v>
      </c>
      <c r="AA774" s="24">
        <f t="shared" si="174"/>
        <v>0</v>
      </c>
      <c r="AB774" s="24">
        <f t="shared" si="175"/>
        <v>0</v>
      </c>
      <c r="AD774" s="39">
        <v>15</v>
      </c>
      <c r="AE774" s="39">
        <f t="shared" si="180"/>
        <v>0</v>
      </c>
      <c r="AF774" s="39">
        <f t="shared" si="181"/>
        <v>0</v>
      </c>
      <c r="AM774" s="39">
        <f t="shared" si="178"/>
        <v>0</v>
      </c>
      <c r="AN774" s="39">
        <f t="shared" si="179"/>
        <v>0</v>
      </c>
      <c r="AO774" s="40" t="s">
        <v>1559</v>
      </c>
      <c r="AP774" s="40" t="s">
        <v>1602</v>
      </c>
      <c r="AQ774" s="31" t="s">
        <v>1609</v>
      </c>
    </row>
    <row r="775" spans="1:43" ht="12.75">
      <c r="A775" s="6" t="s">
        <v>458</v>
      </c>
      <c r="B775" s="6" t="s">
        <v>590</v>
      </c>
      <c r="C775" s="6" t="s">
        <v>839</v>
      </c>
      <c r="D775" s="6" t="s">
        <v>1324</v>
      </c>
      <c r="E775" s="6" t="s">
        <v>1494</v>
      </c>
      <c r="F775" s="24">
        <v>21</v>
      </c>
      <c r="G775" s="24">
        <v>0</v>
      </c>
      <c r="H775" s="24">
        <f t="shared" si="168"/>
        <v>0</v>
      </c>
      <c r="I775" s="24">
        <f t="shared" si="169"/>
        <v>0</v>
      </c>
      <c r="J775" s="24">
        <f t="shared" si="170"/>
        <v>0</v>
      </c>
      <c r="K775" s="24">
        <v>4E-05</v>
      </c>
      <c r="L775" s="24">
        <f t="shared" si="171"/>
        <v>0.00084</v>
      </c>
      <c r="M775" s="36" t="s">
        <v>1523</v>
      </c>
      <c r="N775" s="36" t="s">
        <v>1526</v>
      </c>
      <c r="O775" s="24">
        <f t="shared" si="172"/>
        <v>0</v>
      </c>
      <c r="Z775" s="24">
        <f t="shared" si="173"/>
        <v>0</v>
      </c>
      <c r="AA775" s="24">
        <f t="shared" si="174"/>
        <v>0</v>
      </c>
      <c r="AB775" s="24">
        <f t="shared" si="175"/>
        <v>0</v>
      </c>
      <c r="AD775" s="39">
        <v>15</v>
      </c>
      <c r="AE775" s="39">
        <f t="shared" si="180"/>
        <v>0</v>
      </c>
      <c r="AF775" s="39">
        <f t="shared" si="181"/>
        <v>0</v>
      </c>
      <c r="AM775" s="39">
        <f t="shared" si="178"/>
        <v>0</v>
      </c>
      <c r="AN775" s="39">
        <f t="shared" si="179"/>
        <v>0</v>
      </c>
      <c r="AO775" s="40" t="s">
        <v>1559</v>
      </c>
      <c r="AP775" s="40" t="s">
        <v>1602</v>
      </c>
      <c r="AQ775" s="31" t="s">
        <v>1609</v>
      </c>
    </row>
    <row r="776" spans="1:43" ht="12.75">
      <c r="A776" s="6" t="s">
        <v>459</v>
      </c>
      <c r="B776" s="6" t="s">
        <v>590</v>
      </c>
      <c r="C776" s="6" t="s">
        <v>667</v>
      </c>
      <c r="D776" s="6" t="s">
        <v>1049</v>
      </c>
      <c r="E776" s="6" t="s">
        <v>1494</v>
      </c>
      <c r="F776" s="24">
        <v>9</v>
      </c>
      <c r="G776" s="24">
        <v>0</v>
      </c>
      <c r="H776" s="24">
        <f t="shared" si="168"/>
        <v>0</v>
      </c>
      <c r="I776" s="24">
        <f t="shared" si="169"/>
        <v>0</v>
      </c>
      <c r="J776" s="24">
        <f t="shared" si="170"/>
        <v>0</v>
      </c>
      <c r="K776" s="24">
        <v>1E-05</v>
      </c>
      <c r="L776" s="24">
        <f t="shared" si="171"/>
        <v>9E-05</v>
      </c>
      <c r="M776" s="36" t="s">
        <v>1523</v>
      </c>
      <c r="N776" s="36" t="s">
        <v>1526</v>
      </c>
      <c r="O776" s="24">
        <f t="shared" si="172"/>
        <v>0</v>
      </c>
      <c r="Z776" s="24">
        <f t="shared" si="173"/>
        <v>0</v>
      </c>
      <c r="AA776" s="24">
        <f t="shared" si="174"/>
        <v>0</v>
      </c>
      <c r="AB776" s="24">
        <f t="shared" si="175"/>
        <v>0</v>
      </c>
      <c r="AD776" s="39">
        <v>15</v>
      </c>
      <c r="AE776" s="39">
        <f t="shared" si="180"/>
        <v>0</v>
      </c>
      <c r="AF776" s="39">
        <f t="shared" si="181"/>
        <v>0</v>
      </c>
      <c r="AM776" s="39">
        <f t="shared" si="178"/>
        <v>0</v>
      </c>
      <c r="AN776" s="39">
        <f t="shared" si="179"/>
        <v>0</v>
      </c>
      <c r="AO776" s="40" t="s">
        <v>1559</v>
      </c>
      <c r="AP776" s="40" t="s">
        <v>1602</v>
      </c>
      <c r="AQ776" s="31" t="s">
        <v>1609</v>
      </c>
    </row>
    <row r="777" spans="1:43" ht="12.75">
      <c r="A777" s="6" t="s">
        <v>460</v>
      </c>
      <c r="B777" s="6" t="s">
        <v>590</v>
      </c>
      <c r="C777" s="6" t="s">
        <v>668</v>
      </c>
      <c r="D777" s="6" t="s">
        <v>1050</v>
      </c>
      <c r="E777" s="6" t="s">
        <v>1494</v>
      </c>
      <c r="F777" s="24">
        <v>28</v>
      </c>
      <c r="G777" s="24">
        <v>0</v>
      </c>
      <c r="H777" s="24">
        <f t="shared" si="168"/>
        <v>0</v>
      </c>
      <c r="I777" s="24">
        <f t="shared" si="169"/>
        <v>0</v>
      </c>
      <c r="J777" s="24">
        <f t="shared" si="170"/>
        <v>0</v>
      </c>
      <c r="K777" s="24">
        <v>0</v>
      </c>
      <c r="L777" s="24">
        <f t="shared" si="171"/>
        <v>0</v>
      </c>
      <c r="M777" s="36" t="s">
        <v>1523</v>
      </c>
      <c r="N777" s="36" t="s">
        <v>1526</v>
      </c>
      <c r="O777" s="24">
        <f t="shared" si="172"/>
        <v>0</v>
      </c>
      <c r="Z777" s="24">
        <f t="shared" si="173"/>
        <v>0</v>
      </c>
      <c r="AA777" s="24">
        <f t="shared" si="174"/>
        <v>0</v>
      </c>
      <c r="AB777" s="24">
        <f t="shared" si="175"/>
        <v>0</v>
      </c>
      <c r="AD777" s="39">
        <v>15</v>
      </c>
      <c r="AE777" s="39">
        <f t="shared" si="180"/>
        <v>0</v>
      </c>
      <c r="AF777" s="39">
        <f t="shared" si="181"/>
        <v>0</v>
      </c>
      <c r="AM777" s="39">
        <f t="shared" si="178"/>
        <v>0</v>
      </c>
      <c r="AN777" s="39">
        <f t="shared" si="179"/>
        <v>0</v>
      </c>
      <c r="AO777" s="40" t="s">
        <v>1559</v>
      </c>
      <c r="AP777" s="40" t="s">
        <v>1602</v>
      </c>
      <c r="AQ777" s="31" t="s">
        <v>1609</v>
      </c>
    </row>
    <row r="778" spans="1:43" ht="12.75">
      <c r="A778" s="6" t="s">
        <v>461</v>
      </c>
      <c r="B778" s="6" t="s">
        <v>590</v>
      </c>
      <c r="C778" s="6" t="s">
        <v>669</v>
      </c>
      <c r="D778" s="6" t="s">
        <v>1051</v>
      </c>
      <c r="E778" s="6" t="s">
        <v>1494</v>
      </c>
      <c r="F778" s="24">
        <v>6</v>
      </c>
      <c r="G778" s="24">
        <v>0</v>
      </c>
      <c r="H778" s="24">
        <f t="shared" si="168"/>
        <v>0</v>
      </c>
      <c r="I778" s="24">
        <f t="shared" si="169"/>
        <v>0</v>
      </c>
      <c r="J778" s="24">
        <f t="shared" si="170"/>
        <v>0</v>
      </c>
      <c r="K778" s="24">
        <v>1E-05</v>
      </c>
      <c r="L778" s="24">
        <f t="shared" si="171"/>
        <v>6.000000000000001E-05</v>
      </c>
      <c r="M778" s="36" t="s">
        <v>1523</v>
      </c>
      <c r="N778" s="36" t="s">
        <v>1526</v>
      </c>
      <c r="O778" s="24">
        <f t="shared" si="172"/>
        <v>0</v>
      </c>
      <c r="Z778" s="24">
        <f t="shared" si="173"/>
        <v>0</v>
      </c>
      <c r="AA778" s="24">
        <f t="shared" si="174"/>
        <v>0</v>
      </c>
      <c r="AB778" s="24">
        <f t="shared" si="175"/>
        <v>0</v>
      </c>
      <c r="AD778" s="39">
        <v>15</v>
      </c>
      <c r="AE778" s="39">
        <f t="shared" si="180"/>
        <v>0</v>
      </c>
      <c r="AF778" s="39">
        <f t="shared" si="181"/>
        <v>0</v>
      </c>
      <c r="AM778" s="39">
        <f t="shared" si="178"/>
        <v>0</v>
      </c>
      <c r="AN778" s="39">
        <f t="shared" si="179"/>
        <v>0</v>
      </c>
      <c r="AO778" s="40" t="s">
        <v>1559</v>
      </c>
      <c r="AP778" s="40" t="s">
        <v>1602</v>
      </c>
      <c r="AQ778" s="31" t="s">
        <v>1609</v>
      </c>
    </row>
    <row r="779" spans="1:43" ht="12.75">
      <c r="A779" s="6" t="s">
        <v>462</v>
      </c>
      <c r="B779" s="6" t="s">
        <v>590</v>
      </c>
      <c r="C779" s="6" t="s">
        <v>670</v>
      </c>
      <c r="D779" s="6" t="s">
        <v>1052</v>
      </c>
      <c r="E779" s="6" t="s">
        <v>1494</v>
      </c>
      <c r="F779" s="24">
        <v>18</v>
      </c>
      <c r="G779" s="24">
        <v>0</v>
      </c>
      <c r="H779" s="24">
        <f t="shared" si="168"/>
        <v>0</v>
      </c>
      <c r="I779" s="24">
        <f t="shared" si="169"/>
        <v>0</v>
      </c>
      <c r="J779" s="24">
        <f t="shared" si="170"/>
        <v>0</v>
      </c>
      <c r="K779" s="24">
        <v>5E-05</v>
      </c>
      <c r="L779" s="24">
        <f t="shared" si="171"/>
        <v>0.0009000000000000001</v>
      </c>
      <c r="M779" s="36" t="s">
        <v>1523</v>
      </c>
      <c r="N779" s="36" t="s">
        <v>1526</v>
      </c>
      <c r="O779" s="24">
        <f t="shared" si="172"/>
        <v>0</v>
      </c>
      <c r="Z779" s="24">
        <f t="shared" si="173"/>
        <v>0</v>
      </c>
      <c r="AA779" s="24">
        <f t="shared" si="174"/>
        <v>0</v>
      </c>
      <c r="AB779" s="24">
        <f t="shared" si="175"/>
        <v>0</v>
      </c>
      <c r="AD779" s="39">
        <v>15</v>
      </c>
      <c r="AE779" s="39">
        <f t="shared" si="180"/>
        <v>0</v>
      </c>
      <c r="AF779" s="39">
        <f t="shared" si="181"/>
        <v>0</v>
      </c>
      <c r="AM779" s="39">
        <f t="shared" si="178"/>
        <v>0</v>
      </c>
      <c r="AN779" s="39">
        <f t="shared" si="179"/>
        <v>0</v>
      </c>
      <c r="AO779" s="40" t="s">
        <v>1559</v>
      </c>
      <c r="AP779" s="40" t="s">
        <v>1602</v>
      </c>
      <c r="AQ779" s="31" t="s">
        <v>1609</v>
      </c>
    </row>
    <row r="780" spans="1:43" ht="12.75">
      <c r="A780" s="6" t="s">
        <v>463</v>
      </c>
      <c r="B780" s="6" t="s">
        <v>590</v>
      </c>
      <c r="C780" s="6" t="s">
        <v>840</v>
      </c>
      <c r="D780" s="6" t="s">
        <v>1292</v>
      </c>
      <c r="E780" s="6" t="s">
        <v>1494</v>
      </c>
      <c r="F780" s="24">
        <v>3</v>
      </c>
      <c r="G780" s="24">
        <v>0</v>
      </c>
      <c r="H780" s="24">
        <f t="shared" si="168"/>
        <v>0</v>
      </c>
      <c r="I780" s="24">
        <f t="shared" si="169"/>
        <v>0</v>
      </c>
      <c r="J780" s="24">
        <f t="shared" si="170"/>
        <v>0</v>
      </c>
      <c r="K780" s="24">
        <v>6E-05</v>
      </c>
      <c r="L780" s="24">
        <f t="shared" si="171"/>
        <v>0.00018</v>
      </c>
      <c r="M780" s="36" t="s">
        <v>1523</v>
      </c>
      <c r="N780" s="36" t="s">
        <v>1526</v>
      </c>
      <c r="O780" s="24">
        <f t="shared" si="172"/>
        <v>0</v>
      </c>
      <c r="Z780" s="24">
        <f t="shared" si="173"/>
        <v>0</v>
      </c>
      <c r="AA780" s="24">
        <f t="shared" si="174"/>
        <v>0</v>
      </c>
      <c r="AB780" s="24">
        <f t="shared" si="175"/>
        <v>0</v>
      </c>
      <c r="AD780" s="39">
        <v>15</v>
      </c>
      <c r="AE780" s="39">
        <f t="shared" si="180"/>
        <v>0</v>
      </c>
      <c r="AF780" s="39">
        <f t="shared" si="181"/>
        <v>0</v>
      </c>
      <c r="AM780" s="39">
        <f t="shared" si="178"/>
        <v>0</v>
      </c>
      <c r="AN780" s="39">
        <f t="shared" si="179"/>
        <v>0</v>
      </c>
      <c r="AO780" s="40" t="s">
        <v>1559</v>
      </c>
      <c r="AP780" s="40" t="s">
        <v>1602</v>
      </c>
      <c r="AQ780" s="31" t="s">
        <v>1609</v>
      </c>
    </row>
    <row r="781" spans="1:43" ht="12.75">
      <c r="A781" s="6" t="s">
        <v>464</v>
      </c>
      <c r="B781" s="6" t="s">
        <v>590</v>
      </c>
      <c r="C781" s="6" t="s">
        <v>671</v>
      </c>
      <c r="D781" s="6" t="s">
        <v>1053</v>
      </c>
      <c r="E781" s="6" t="s">
        <v>1494</v>
      </c>
      <c r="F781" s="24">
        <v>78</v>
      </c>
      <c r="G781" s="24">
        <v>0</v>
      </c>
      <c r="H781" s="24">
        <f t="shared" si="168"/>
        <v>0</v>
      </c>
      <c r="I781" s="24">
        <f t="shared" si="169"/>
        <v>0</v>
      </c>
      <c r="J781" s="24">
        <f t="shared" si="170"/>
        <v>0</v>
      </c>
      <c r="K781" s="24">
        <v>2E-05</v>
      </c>
      <c r="L781" s="24">
        <f t="shared" si="171"/>
        <v>0.0015600000000000002</v>
      </c>
      <c r="M781" s="36" t="s">
        <v>1523</v>
      </c>
      <c r="N781" s="36" t="s">
        <v>1526</v>
      </c>
      <c r="O781" s="24">
        <f t="shared" si="172"/>
        <v>0</v>
      </c>
      <c r="Z781" s="24">
        <f t="shared" si="173"/>
        <v>0</v>
      </c>
      <c r="AA781" s="24">
        <f t="shared" si="174"/>
        <v>0</v>
      </c>
      <c r="AB781" s="24">
        <f t="shared" si="175"/>
        <v>0</v>
      </c>
      <c r="AD781" s="39">
        <v>15</v>
      </c>
      <c r="AE781" s="39">
        <f t="shared" si="180"/>
        <v>0</v>
      </c>
      <c r="AF781" s="39">
        <f t="shared" si="181"/>
        <v>0</v>
      </c>
      <c r="AM781" s="39">
        <f t="shared" si="178"/>
        <v>0</v>
      </c>
      <c r="AN781" s="39">
        <f t="shared" si="179"/>
        <v>0</v>
      </c>
      <c r="AO781" s="40" t="s">
        <v>1559</v>
      </c>
      <c r="AP781" s="40" t="s">
        <v>1602</v>
      </c>
      <c r="AQ781" s="31" t="s">
        <v>1609</v>
      </c>
    </row>
    <row r="782" spans="1:43" ht="12.75">
      <c r="A782" s="6" t="s">
        <v>465</v>
      </c>
      <c r="B782" s="6" t="s">
        <v>590</v>
      </c>
      <c r="C782" s="6" t="s">
        <v>672</v>
      </c>
      <c r="D782" s="6" t="s">
        <v>1054</v>
      </c>
      <c r="E782" s="6" t="s">
        <v>1495</v>
      </c>
      <c r="F782" s="24">
        <v>150</v>
      </c>
      <c r="G782" s="24">
        <v>0</v>
      </c>
      <c r="H782" s="24">
        <f t="shared" si="168"/>
        <v>0</v>
      </c>
      <c r="I782" s="24">
        <f t="shared" si="169"/>
        <v>0</v>
      </c>
      <c r="J782" s="24">
        <f t="shared" si="170"/>
        <v>0</v>
      </c>
      <c r="K782" s="24">
        <v>0.00016</v>
      </c>
      <c r="L782" s="24">
        <f t="shared" si="171"/>
        <v>0.024</v>
      </c>
      <c r="M782" s="36" t="s">
        <v>1523</v>
      </c>
      <c r="N782" s="36" t="s">
        <v>1526</v>
      </c>
      <c r="O782" s="24">
        <f t="shared" si="172"/>
        <v>0</v>
      </c>
      <c r="Z782" s="24">
        <f t="shared" si="173"/>
        <v>0</v>
      </c>
      <c r="AA782" s="24">
        <f t="shared" si="174"/>
        <v>0</v>
      </c>
      <c r="AB782" s="24">
        <f t="shared" si="175"/>
        <v>0</v>
      </c>
      <c r="AD782" s="39">
        <v>15</v>
      </c>
      <c r="AE782" s="39">
        <f t="shared" si="180"/>
        <v>0</v>
      </c>
      <c r="AF782" s="39">
        <f t="shared" si="181"/>
        <v>0</v>
      </c>
      <c r="AM782" s="39">
        <f t="shared" si="178"/>
        <v>0</v>
      </c>
      <c r="AN782" s="39">
        <f t="shared" si="179"/>
        <v>0</v>
      </c>
      <c r="AO782" s="40" t="s">
        <v>1559</v>
      </c>
      <c r="AP782" s="40" t="s">
        <v>1602</v>
      </c>
      <c r="AQ782" s="31" t="s">
        <v>1609</v>
      </c>
    </row>
    <row r="783" spans="1:43" ht="12.75">
      <c r="A783" s="6" t="s">
        <v>466</v>
      </c>
      <c r="B783" s="6" t="s">
        <v>590</v>
      </c>
      <c r="C783" s="6" t="s">
        <v>673</v>
      </c>
      <c r="D783" s="6" t="s">
        <v>1055</v>
      </c>
      <c r="E783" s="6" t="s">
        <v>1495</v>
      </c>
      <c r="F783" s="24">
        <v>150</v>
      </c>
      <c r="G783" s="24">
        <v>0</v>
      </c>
      <c r="H783" s="24">
        <f t="shared" si="168"/>
        <v>0</v>
      </c>
      <c r="I783" s="24">
        <f t="shared" si="169"/>
        <v>0</v>
      </c>
      <c r="J783" s="24">
        <f t="shared" si="170"/>
        <v>0</v>
      </c>
      <c r="K783" s="24">
        <v>0.00015</v>
      </c>
      <c r="L783" s="24">
        <f t="shared" si="171"/>
        <v>0.0225</v>
      </c>
      <c r="M783" s="36" t="s">
        <v>1523</v>
      </c>
      <c r="N783" s="36" t="s">
        <v>1526</v>
      </c>
      <c r="O783" s="24">
        <f t="shared" si="172"/>
        <v>0</v>
      </c>
      <c r="Z783" s="24">
        <f t="shared" si="173"/>
        <v>0</v>
      </c>
      <c r="AA783" s="24">
        <f t="shared" si="174"/>
        <v>0</v>
      </c>
      <c r="AB783" s="24">
        <f t="shared" si="175"/>
        <v>0</v>
      </c>
      <c r="AD783" s="39">
        <v>15</v>
      </c>
      <c r="AE783" s="39">
        <f t="shared" si="180"/>
        <v>0</v>
      </c>
      <c r="AF783" s="39">
        <f t="shared" si="181"/>
        <v>0</v>
      </c>
      <c r="AM783" s="39">
        <f t="shared" si="178"/>
        <v>0</v>
      </c>
      <c r="AN783" s="39">
        <f t="shared" si="179"/>
        <v>0</v>
      </c>
      <c r="AO783" s="40" t="s">
        <v>1559</v>
      </c>
      <c r="AP783" s="40" t="s">
        <v>1602</v>
      </c>
      <c r="AQ783" s="31" t="s">
        <v>1609</v>
      </c>
    </row>
    <row r="784" spans="1:43" ht="12.75">
      <c r="A784" s="6" t="s">
        <v>467</v>
      </c>
      <c r="B784" s="6" t="s">
        <v>590</v>
      </c>
      <c r="C784" s="6" t="s">
        <v>674</v>
      </c>
      <c r="D784" s="6" t="s">
        <v>1056</v>
      </c>
      <c r="E784" s="6" t="s">
        <v>1495</v>
      </c>
      <c r="F784" s="24">
        <v>240</v>
      </c>
      <c r="G784" s="24">
        <v>0</v>
      </c>
      <c r="H784" s="24">
        <f t="shared" si="168"/>
        <v>0</v>
      </c>
      <c r="I784" s="24">
        <f t="shared" si="169"/>
        <v>0</v>
      </c>
      <c r="J784" s="24">
        <f t="shared" si="170"/>
        <v>0</v>
      </c>
      <c r="K784" s="24">
        <v>0.00022</v>
      </c>
      <c r="L784" s="24">
        <f t="shared" si="171"/>
        <v>0.0528</v>
      </c>
      <c r="M784" s="36" t="s">
        <v>1523</v>
      </c>
      <c r="N784" s="36" t="s">
        <v>1526</v>
      </c>
      <c r="O784" s="24">
        <f t="shared" si="172"/>
        <v>0</v>
      </c>
      <c r="Z784" s="24">
        <f t="shared" si="173"/>
        <v>0</v>
      </c>
      <c r="AA784" s="24">
        <f t="shared" si="174"/>
        <v>0</v>
      </c>
      <c r="AB784" s="24">
        <f t="shared" si="175"/>
        <v>0</v>
      </c>
      <c r="AD784" s="39">
        <v>15</v>
      </c>
      <c r="AE784" s="39">
        <f t="shared" si="180"/>
        <v>0</v>
      </c>
      <c r="AF784" s="39">
        <f t="shared" si="181"/>
        <v>0</v>
      </c>
      <c r="AM784" s="39">
        <f t="shared" si="178"/>
        <v>0</v>
      </c>
      <c r="AN784" s="39">
        <f t="shared" si="179"/>
        <v>0</v>
      </c>
      <c r="AO784" s="40" t="s">
        <v>1559</v>
      </c>
      <c r="AP784" s="40" t="s">
        <v>1602</v>
      </c>
      <c r="AQ784" s="31" t="s">
        <v>1609</v>
      </c>
    </row>
    <row r="785" spans="1:43" ht="12.75">
      <c r="A785" s="6" t="s">
        <v>468</v>
      </c>
      <c r="B785" s="6" t="s">
        <v>590</v>
      </c>
      <c r="C785" s="6" t="s">
        <v>677</v>
      </c>
      <c r="D785" s="6" t="s">
        <v>1296</v>
      </c>
      <c r="E785" s="6" t="s">
        <v>1495</v>
      </c>
      <c r="F785" s="24">
        <v>60</v>
      </c>
      <c r="G785" s="24">
        <v>0</v>
      </c>
      <c r="H785" s="24">
        <f t="shared" si="168"/>
        <v>0</v>
      </c>
      <c r="I785" s="24">
        <f t="shared" si="169"/>
        <v>0</v>
      </c>
      <c r="J785" s="24">
        <f t="shared" si="170"/>
        <v>0</v>
      </c>
      <c r="K785" s="24">
        <v>0.00018</v>
      </c>
      <c r="L785" s="24">
        <f t="shared" si="171"/>
        <v>0.0108</v>
      </c>
      <c r="M785" s="36" t="s">
        <v>1523</v>
      </c>
      <c r="N785" s="36" t="s">
        <v>1526</v>
      </c>
      <c r="O785" s="24">
        <f t="shared" si="172"/>
        <v>0</v>
      </c>
      <c r="Z785" s="24">
        <f t="shared" si="173"/>
        <v>0</v>
      </c>
      <c r="AA785" s="24">
        <f t="shared" si="174"/>
        <v>0</v>
      </c>
      <c r="AB785" s="24">
        <f t="shared" si="175"/>
        <v>0</v>
      </c>
      <c r="AD785" s="39">
        <v>15</v>
      </c>
      <c r="AE785" s="39">
        <f t="shared" si="180"/>
        <v>0</v>
      </c>
      <c r="AF785" s="39">
        <f t="shared" si="181"/>
        <v>0</v>
      </c>
      <c r="AM785" s="39">
        <f t="shared" si="178"/>
        <v>0</v>
      </c>
      <c r="AN785" s="39">
        <f t="shared" si="179"/>
        <v>0</v>
      </c>
      <c r="AO785" s="40" t="s">
        <v>1559</v>
      </c>
      <c r="AP785" s="40" t="s">
        <v>1602</v>
      </c>
      <c r="AQ785" s="31" t="s">
        <v>1609</v>
      </c>
    </row>
    <row r="786" spans="1:43" ht="12.75">
      <c r="A786" s="6" t="s">
        <v>469</v>
      </c>
      <c r="B786" s="6" t="s">
        <v>590</v>
      </c>
      <c r="C786" s="6" t="s">
        <v>844</v>
      </c>
      <c r="D786" s="6" t="s">
        <v>1297</v>
      </c>
      <c r="E786" s="6" t="s">
        <v>1495</v>
      </c>
      <c r="F786" s="24">
        <v>45</v>
      </c>
      <c r="G786" s="24">
        <v>0</v>
      </c>
      <c r="H786" s="24">
        <f t="shared" si="168"/>
        <v>0</v>
      </c>
      <c r="I786" s="24">
        <f t="shared" si="169"/>
        <v>0</v>
      </c>
      <c r="J786" s="24">
        <f t="shared" si="170"/>
        <v>0</v>
      </c>
      <c r="K786" s="24">
        <v>0.00061</v>
      </c>
      <c r="L786" s="24">
        <f t="shared" si="171"/>
        <v>0.02745</v>
      </c>
      <c r="M786" s="36" t="s">
        <v>1523</v>
      </c>
      <c r="N786" s="36" t="s">
        <v>1526</v>
      </c>
      <c r="O786" s="24">
        <f t="shared" si="172"/>
        <v>0</v>
      </c>
      <c r="Z786" s="24">
        <f t="shared" si="173"/>
        <v>0</v>
      </c>
      <c r="AA786" s="24">
        <f t="shared" si="174"/>
        <v>0</v>
      </c>
      <c r="AB786" s="24">
        <f t="shared" si="175"/>
        <v>0</v>
      </c>
      <c r="AD786" s="39">
        <v>15</v>
      </c>
      <c r="AE786" s="39">
        <f t="shared" si="180"/>
        <v>0</v>
      </c>
      <c r="AF786" s="39">
        <f t="shared" si="181"/>
        <v>0</v>
      </c>
      <c r="AM786" s="39">
        <f t="shared" si="178"/>
        <v>0</v>
      </c>
      <c r="AN786" s="39">
        <f t="shared" si="179"/>
        <v>0</v>
      </c>
      <c r="AO786" s="40" t="s">
        <v>1559</v>
      </c>
      <c r="AP786" s="40" t="s">
        <v>1602</v>
      </c>
      <c r="AQ786" s="31" t="s">
        <v>1609</v>
      </c>
    </row>
    <row r="787" spans="1:43" ht="12.75">
      <c r="A787" s="6" t="s">
        <v>470</v>
      </c>
      <c r="B787" s="6" t="s">
        <v>590</v>
      </c>
      <c r="C787" s="6" t="s">
        <v>675</v>
      </c>
      <c r="D787" s="6" t="s">
        <v>1057</v>
      </c>
      <c r="E787" s="6" t="s">
        <v>1495</v>
      </c>
      <c r="F787" s="24">
        <v>45</v>
      </c>
      <c r="G787" s="24">
        <v>0</v>
      </c>
      <c r="H787" s="24">
        <f t="shared" si="168"/>
        <v>0</v>
      </c>
      <c r="I787" s="24">
        <f t="shared" si="169"/>
        <v>0</v>
      </c>
      <c r="J787" s="24">
        <f t="shared" si="170"/>
        <v>0</v>
      </c>
      <c r="K787" s="24">
        <v>0.0003</v>
      </c>
      <c r="L787" s="24">
        <f t="shared" si="171"/>
        <v>0.013499999999999998</v>
      </c>
      <c r="M787" s="36" t="s">
        <v>1523</v>
      </c>
      <c r="N787" s="36" t="s">
        <v>1526</v>
      </c>
      <c r="O787" s="24">
        <f t="shared" si="172"/>
        <v>0</v>
      </c>
      <c r="Z787" s="24">
        <f t="shared" si="173"/>
        <v>0</v>
      </c>
      <c r="AA787" s="24">
        <f t="shared" si="174"/>
        <v>0</v>
      </c>
      <c r="AB787" s="24">
        <f t="shared" si="175"/>
        <v>0</v>
      </c>
      <c r="AD787" s="39">
        <v>15</v>
      </c>
      <c r="AE787" s="39">
        <f t="shared" si="180"/>
        <v>0</v>
      </c>
      <c r="AF787" s="39">
        <f t="shared" si="181"/>
        <v>0</v>
      </c>
      <c r="AM787" s="39">
        <f t="shared" si="178"/>
        <v>0</v>
      </c>
      <c r="AN787" s="39">
        <f t="shared" si="179"/>
        <v>0</v>
      </c>
      <c r="AO787" s="40" t="s">
        <v>1559</v>
      </c>
      <c r="AP787" s="40" t="s">
        <v>1602</v>
      </c>
      <c r="AQ787" s="31" t="s">
        <v>1609</v>
      </c>
    </row>
    <row r="788" spans="1:43" ht="12.75">
      <c r="A788" s="6" t="s">
        <v>471</v>
      </c>
      <c r="B788" s="6" t="s">
        <v>590</v>
      </c>
      <c r="C788" s="6" t="s">
        <v>676</v>
      </c>
      <c r="D788" s="6" t="s">
        <v>1058</v>
      </c>
      <c r="E788" s="6" t="s">
        <v>1495</v>
      </c>
      <c r="F788" s="24">
        <v>30</v>
      </c>
      <c r="G788" s="24">
        <v>0</v>
      </c>
      <c r="H788" s="24">
        <f t="shared" si="168"/>
        <v>0</v>
      </c>
      <c r="I788" s="24">
        <f t="shared" si="169"/>
        <v>0</v>
      </c>
      <c r="J788" s="24">
        <f t="shared" si="170"/>
        <v>0</v>
      </c>
      <c r="K788" s="24">
        <v>0.00041</v>
      </c>
      <c r="L788" s="24">
        <f t="shared" si="171"/>
        <v>0.0123</v>
      </c>
      <c r="M788" s="36" t="s">
        <v>1523</v>
      </c>
      <c r="N788" s="36" t="s">
        <v>1526</v>
      </c>
      <c r="O788" s="24">
        <f t="shared" si="172"/>
        <v>0</v>
      </c>
      <c r="Z788" s="24">
        <f t="shared" si="173"/>
        <v>0</v>
      </c>
      <c r="AA788" s="24">
        <f t="shared" si="174"/>
        <v>0</v>
      </c>
      <c r="AB788" s="24">
        <f t="shared" si="175"/>
        <v>0</v>
      </c>
      <c r="AD788" s="39">
        <v>15</v>
      </c>
      <c r="AE788" s="39">
        <f t="shared" si="180"/>
        <v>0</v>
      </c>
      <c r="AF788" s="39">
        <f t="shared" si="181"/>
        <v>0</v>
      </c>
      <c r="AM788" s="39">
        <f t="shared" si="178"/>
        <v>0</v>
      </c>
      <c r="AN788" s="39">
        <f t="shared" si="179"/>
        <v>0</v>
      </c>
      <c r="AO788" s="40" t="s">
        <v>1559</v>
      </c>
      <c r="AP788" s="40" t="s">
        <v>1602</v>
      </c>
      <c r="AQ788" s="31" t="s">
        <v>1609</v>
      </c>
    </row>
    <row r="789" spans="1:43" ht="12.75">
      <c r="A789" s="6" t="s">
        <v>472</v>
      </c>
      <c r="B789" s="6" t="s">
        <v>590</v>
      </c>
      <c r="C789" s="6" t="s">
        <v>677</v>
      </c>
      <c r="D789" s="6" t="s">
        <v>1059</v>
      </c>
      <c r="E789" s="6" t="s">
        <v>1495</v>
      </c>
      <c r="F789" s="24">
        <v>24</v>
      </c>
      <c r="G789" s="24">
        <v>0</v>
      </c>
      <c r="H789" s="24">
        <f t="shared" si="168"/>
        <v>0</v>
      </c>
      <c r="I789" s="24">
        <f t="shared" si="169"/>
        <v>0</v>
      </c>
      <c r="J789" s="24">
        <f t="shared" si="170"/>
        <v>0</v>
      </c>
      <c r="K789" s="24">
        <v>0.00018</v>
      </c>
      <c r="L789" s="24">
        <f t="shared" si="171"/>
        <v>0.00432</v>
      </c>
      <c r="M789" s="36" t="s">
        <v>1523</v>
      </c>
      <c r="N789" s="36" t="s">
        <v>1526</v>
      </c>
      <c r="O789" s="24">
        <f t="shared" si="172"/>
        <v>0</v>
      </c>
      <c r="Z789" s="24">
        <f t="shared" si="173"/>
        <v>0</v>
      </c>
      <c r="AA789" s="24">
        <f t="shared" si="174"/>
        <v>0</v>
      </c>
      <c r="AB789" s="24">
        <f t="shared" si="175"/>
        <v>0</v>
      </c>
      <c r="AD789" s="39">
        <v>15</v>
      </c>
      <c r="AE789" s="39">
        <f t="shared" si="180"/>
        <v>0</v>
      </c>
      <c r="AF789" s="39">
        <f t="shared" si="181"/>
        <v>0</v>
      </c>
      <c r="AM789" s="39">
        <f t="shared" si="178"/>
        <v>0</v>
      </c>
      <c r="AN789" s="39">
        <f t="shared" si="179"/>
        <v>0</v>
      </c>
      <c r="AO789" s="40" t="s">
        <v>1559</v>
      </c>
      <c r="AP789" s="40" t="s">
        <v>1602</v>
      </c>
      <c r="AQ789" s="31" t="s">
        <v>1609</v>
      </c>
    </row>
    <row r="790" spans="1:43" ht="12.75">
      <c r="A790" s="6" t="s">
        <v>473</v>
      </c>
      <c r="B790" s="6" t="s">
        <v>590</v>
      </c>
      <c r="C790" s="6" t="s">
        <v>845</v>
      </c>
      <c r="D790" s="6" t="s">
        <v>1298</v>
      </c>
      <c r="E790" s="6" t="s">
        <v>1495</v>
      </c>
      <c r="F790" s="24">
        <v>45</v>
      </c>
      <c r="G790" s="24">
        <v>0</v>
      </c>
      <c r="H790" s="24">
        <f t="shared" si="168"/>
        <v>0</v>
      </c>
      <c r="I790" s="24">
        <f t="shared" si="169"/>
        <v>0</v>
      </c>
      <c r="J790" s="24">
        <f t="shared" si="170"/>
        <v>0</v>
      </c>
      <c r="K790" s="24">
        <v>0.00013</v>
      </c>
      <c r="L790" s="24">
        <f t="shared" si="171"/>
        <v>0.005849999999999999</v>
      </c>
      <c r="M790" s="36" t="s">
        <v>1523</v>
      </c>
      <c r="N790" s="36" t="s">
        <v>1526</v>
      </c>
      <c r="O790" s="24">
        <f t="shared" si="172"/>
        <v>0</v>
      </c>
      <c r="Z790" s="24">
        <f t="shared" si="173"/>
        <v>0</v>
      </c>
      <c r="AA790" s="24">
        <f t="shared" si="174"/>
        <v>0</v>
      </c>
      <c r="AB790" s="24">
        <f t="shared" si="175"/>
        <v>0</v>
      </c>
      <c r="AD790" s="39">
        <v>15</v>
      </c>
      <c r="AE790" s="39">
        <f t="shared" si="180"/>
        <v>0</v>
      </c>
      <c r="AF790" s="39">
        <f t="shared" si="181"/>
        <v>0</v>
      </c>
      <c r="AM790" s="39">
        <f t="shared" si="178"/>
        <v>0</v>
      </c>
      <c r="AN790" s="39">
        <f t="shared" si="179"/>
        <v>0</v>
      </c>
      <c r="AO790" s="40" t="s">
        <v>1559</v>
      </c>
      <c r="AP790" s="40" t="s">
        <v>1602</v>
      </c>
      <c r="AQ790" s="31" t="s">
        <v>1609</v>
      </c>
    </row>
    <row r="791" spans="1:43" ht="12.75">
      <c r="A791" s="6" t="s">
        <v>474</v>
      </c>
      <c r="B791" s="6" t="s">
        <v>590</v>
      </c>
      <c r="C791" s="6" t="s">
        <v>678</v>
      </c>
      <c r="D791" s="6" t="s">
        <v>1060</v>
      </c>
      <c r="E791" s="6" t="s">
        <v>1494</v>
      </c>
      <c r="F791" s="24">
        <v>24</v>
      </c>
      <c r="G791" s="24">
        <v>0</v>
      </c>
      <c r="H791" s="24">
        <f t="shared" si="168"/>
        <v>0</v>
      </c>
      <c r="I791" s="24">
        <f t="shared" si="169"/>
        <v>0</v>
      </c>
      <c r="J791" s="24">
        <f t="shared" si="170"/>
        <v>0</v>
      </c>
      <c r="K791" s="24">
        <v>3E-05</v>
      </c>
      <c r="L791" s="24">
        <f t="shared" si="171"/>
        <v>0.00072</v>
      </c>
      <c r="M791" s="36" t="s">
        <v>1523</v>
      </c>
      <c r="N791" s="36" t="s">
        <v>1526</v>
      </c>
      <c r="O791" s="24">
        <f t="shared" si="172"/>
        <v>0</v>
      </c>
      <c r="Z791" s="24">
        <f t="shared" si="173"/>
        <v>0</v>
      </c>
      <c r="AA791" s="24">
        <f t="shared" si="174"/>
        <v>0</v>
      </c>
      <c r="AB791" s="24">
        <f t="shared" si="175"/>
        <v>0</v>
      </c>
      <c r="AD791" s="39">
        <v>15</v>
      </c>
      <c r="AE791" s="39">
        <f t="shared" si="180"/>
        <v>0</v>
      </c>
      <c r="AF791" s="39">
        <f t="shared" si="181"/>
        <v>0</v>
      </c>
      <c r="AM791" s="39">
        <f t="shared" si="178"/>
        <v>0</v>
      </c>
      <c r="AN791" s="39">
        <f t="shared" si="179"/>
        <v>0</v>
      </c>
      <c r="AO791" s="40" t="s">
        <v>1559</v>
      </c>
      <c r="AP791" s="40" t="s">
        <v>1602</v>
      </c>
      <c r="AQ791" s="31" t="s">
        <v>1609</v>
      </c>
    </row>
    <row r="792" spans="1:43" ht="12.75">
      <c r="A792" s="6" t="s">
        <v>475</v>
      </c>
      <c r="B792" s="6" t="s">
        <v>590</v>
      </c>
      <c r="C792" s="6" t="s">
        <v>679</v>
      </c>
      <c r="D792" s="6" t="s">
        <v>1061</v>
      </c>
      <c r="E792" s="6" t="s">
        <v>1494</v>
      </c>
      <c r="F792" s="24">
        <v>24</v>
      </c>
      <c r="G792" s="24">
        <v>0</v>
      </c>
      <c r="H792" s="24">
        <f t="shared" si="168"/>
        <v>0</v>
      </c>
      <c r="I792" s="24">
        <f t="shared" si="169"/>
        <v>0</v>
      </c>
      <c r="J792" s="24">
        <f t="shared" si="170"/>
        <v>0</v>
      </c>
      <c r="K792" s="24">
        <v>1E-05</v>
      </c>
      <c r="L792" s="24">
        <f t="shared" si="171"/>
        <v>0.00024000000000000003</v>
      </c>
      <c r="M792" s="36" t="s">
        <v>1523</v>
      </c>
      <c r="N792" s="36" t="s">
        <v>1526</v>
      </c>
      <c r="O792" s="24">
        <f t="shared" si="172"/>
        <v>0</v>
      </c>
      <c r="Z792" s="24">
        <f t="shared" si="173"/>
        <v>0</v>
      </c>
      <c r="AA792" s="24">
        <f t="shared" si="174"/>
        <v>0</v>
      </c>
      <c r="AB792" s="24">
        <f t="shared" si="175"/>
        <v>0</v>
      </c>
      <c r="AD792" s="39">
        <v>15</v>
      </c>
      <c r="AE792" s="39">
        <f t="shared" si="180"/>
        <v>0</v>
      </c>
      <c r="AF792" s="39">
        <f t="shared" si="181"/>
        <v>0</v>
      </c>
      <c r="AM792" s="39">
        <f t="shared" si="178"/>
        <v>0</v>
      </c>
      <c r="AN792" s="39">
        <f t="shared" si="179"/>
        <v>0</v>
      </c>
      <c r="AO792" s="40" t="s">
        <v>1559</v>
      </c>
      <c r="AP792" s="40" t="s">
        <v>1602</v>
      </c>
      <c r="AQ792" s="31" t="s">
        <v>1609</v>
      </c>
    </row>
    <row r="793" spans="1:43" ht="12.75">
      <c r="A793" s="6" t="s">
        <v>476</v>
      </c>
      <c r="B793" s="6" t="s">
        <v>590</v>
      </c>
      <c r="C793" s="6" t="s">
        <v>846</v>
      </c>
      <c r="D793" s="6" t="s">
        <v>1299</v>
      </c>
      <c r="E793" s="6" t="s">
        <v>1494</v>
      </c>
      <c r="F793" s="24">
        <v>3</v>
      </c>
      <c r="G793" s="24">
        <v>0</v>
      </c>
      <c r="H793" s="24">
        <f t="shared" si="168"/>
        <v>0</v>
      </c>
      <c r="I793" s="24">
        <f t="shared" si="169"/>
        <v>0</v>
      </c>
      <c r="J793" s="24">
        <f t="shared" si="170"/>
        <v>0</v>
      </c>
      <c r="K793" s="24">
        <v>0.033</v>
      </c>
      <c r="L793" s="24">
        <f t="shared" si="171"/>
        <v>0.099</v>
      </c>
      <c r="M793" s="36" t="s">
        <v>1523</v>
      </c>
      <c r="N793" s="36" t="s">
        <v>1526</v>
      </c>
      <c r="O793" s="24">
        <f t="shared" si="172"/>
        <v>0</v>
      </c>
      <c r="Z793" s="24">
        <f t="shared" si="173"/>
        <v>0</v>
      </c>
      <c r="AA793" s="24">
        <f t="shared" si="174"/>
        <v>0</v>
      </c>
      <c r="AB793" s="24">
        <f t="shared" si="175"/>
        <v>0</v>
      </c>
      <c r="AD793" s="39">
        <v>15</v>
      </c>
      <c r="AE793" s="39">
        <f t="shared" si="180"/>
        <v>0</v>
      </c>
      <c r="AF793" s="39">
        <f t="shared" si="181"/>
        <v>0</v>
      </c>
      <c r="AM793" s="39">
        <f t="shared" si="178"/>
        <v>0</v>
      </c>
      <c r="AN793" s="39">
        <f t="shared" si="179"/>
        <v>0</v>
      </c>
      <c r="AO793" s="40" t="s">
        <v>1559</v>
      </c>
      <c r="AP793" s="40" t="s">
        <v>1602</v>
      </c>
      <c r="AQ793" s="31" t="s">
        <v>1609</v>
      </c>
    </row>
    <row r="794" spans="1:43" ht="12.75">
      <c r="A794" s="6" t="s">
        <v>477</v>
      </c>
      <c r="B794" s="6" t="s">
        <v>590</v>
      </c>
      <c r="C794" s="6" t="s">
        <v>681</v>
      </c>
      <c r="D794" s="6" t="s">
        <v>1063</v>
      </c>
      <c r="E794" s="6" t="s">
        <v>1494</v>
      </c>
      <c r="F794" s="24">
        <v>30</v>
      </c>
      <c r="G794" s="24">
        <v>0</v>
      </c>
      <c r="H794" s="24">
        <f t="shared" si="168"/>
        <v>0</v>
      </c>
      <c r="I794" s="24">
        <f t="shared" si="169"/>
        <v>0</v>
      </c>
      <c r="J794" s="24">
        <f t="shared" si="170"/>
        <v>0</v>
      </c>
      <c r="K794" s="24">
        <v>0</v>
      </c>
      <c r="L794" s="24">
        <f t="shared" si="171"/>
        <v>0</v>
      </c>
      <c r="M794" s="36" t="s">
        <v>1523</v>
      </c>
      <c r="N794" s="36" t="s">
        <v>1526</v>
      </c>
      <c r="O794" s="24">
        <f t="shared" si="172"/>
        <v>0</v>
      </c>
      <c r="Z794" s="24">
        <f t="shared" si="173"/>
        <v>0</v>
      </c>
      <c r="AA794" s="24">
        <f t="shared" si="174"/>
        <v>0</v>
      </c>
      <c r="AB794" s="24">
        <f t="shared" si="175"/>
        <v>0</v>
      </c>
      <c r="AD794" s="39">
        <v>15</v>
      </c>
      <c r="AE794" s="39">
        <f t="shared" si="180"/>
        <v>0</v>
      </c>
      <c r="AF794" s="39">
        <f t="shared" si="181"/>
        <v>0</v>
      </c>
      <c r="AM794" s="39">
        <f t="shared" si="178"/>
        <v>0</v>
      </c>
      <c r="AN794" s="39">
        <f t="shared" si="179"/>
        <v>0</v>
      </c>
      <c r="AO794" s="40" t="s">
        <v>1559</v>
      </c>
      <c r="AP794" s="40" t="s">
        <v>1602</v>
      </c>
      <c r="AQ794" s="31" t="s">
        <v>1609</v>
      </c>
    </row>
    <row r="795" spans="1:43" ht="12.75">
      <c r="A795" s="6" t="s">
        <v>478</v>
      </c>
      <c r="B795" s="6" t="s">
        <v>590</v>
      </c>
      <c r="C795" s="6" t="s">
        <v>853</v>
      </c>
      <c r="D795" s="6" t="s">
        <v>1307</v>
      </c>
      <c r="E795" s="6" t="s">
        <v>1494</v>
      </c>
      <c r="F795" s="24">
        <v>3</v>
      </c>
      <c r="G795" s="24">
        <v>0</v>
      </c>
      <c r="H795" s="24">
        <f t="shared" si="168"/>
        <v>0</v>
      </c>
      <c r="I795" s="24">
        <f t="shared" si="169"/>
        <v>0</v>
      </c>
      <c r="J795" s="24">
        <f t="shared" si="170"/>
        <v>0</v>
      </c>
      <c r="K795" s="24">
        <v>0.00059</v>
      </c>
      <c r="L795" s="24">
        <f t="shared" si="171"/>
        <v>0.00177</v>
      </c>
      <c r="M795" s="36" t="s">
        <v>1523</v>
      </c>
      <c r="N795" s="36" t="s">
        <v>1526</v>
      </c>
      <c r="O795" s="24">
        <f t="shared" si="172"/>
        <v>0</v>
      </c>
      <c r="Z795" s="24">
        <f t="shared" si="173"/>
        <v>0</v>
      </c>
      <c r="AA795" s="24">
        <f t="shared" si="174"/>
        <v>0</v>
      </c>
      <c r="AB795" s="24">
        <f t="shared" si="175"/>
        <v>0</v>
      </c>
      <c r="AD795" s="39">
        <v>15</v>
      </c>
      <c r="AE795" s="39">
        <f t="shared" si="180"/>
        <v>0</v>
      </c>
      <c r="AF795" s="39">
        <f t="shared" si="181"/>
        <v>0</v>
      </c>
      <c r="AM795" s="39">
        <f t="shared" si="178"/>
        <v>0</v>
      </c>
      <c r="AN795" s="39">
        <f t="shared" si="179"/>
        <v>0</v>
      </c>
      <c r="AO795" s="40" t="s">
        <v>1559</v>
      </c>
      <c r="AP795" s="40" t="s">
        <v>1602</v>
      </c>
      <c r="AQ795" s="31" t="s">
        <v>1609</v>
      </c>
    </row>
    <row r="796" spans="1:37" ht="12.75">
      <c r="A796" s="4"/>
      <c r="B796" s="14" t="s">
        <v>590</v>
      </c>
      <c r="C796" s="14"/>
      <c r="D796" s="104" t="s">
        <v>1325</v>
      </c>
      <c r="E796" s="105"/>
      <c r="F796" s="105"/>
      <c r="G796" s="105"/>
      <c r="H796" s="42">
        <f>SUM(H797:H798)</f>
        <v>0</v>
      </c>
      <c r="I796" s="42">
        <f>SUM(I797:I798)</f>
        <v>0</v>
      </c>
      <c r="J796" s="42">
        <f>H796+I796</f>
        <v>0</v>
      </c>
      <c r="K796" s="31"/>
      <c r="L796" s="42">
        <f>SUM(L797:L798)</f>
        <v>0.048</v>
      </c>
      <c r="M796" s="31"/>
      <c r="P796" s="42">
        <f>IF(Q796="PR",J796,SUM(O797:O798))</f>
        <v>0</v>
      </c>
      <c r="Q796" s="31" t="s">
        <v>1532</v>
      </c>
      <c r="R796" s="42">
        <f>IF(Q796="HS",H796,0)</f>
        <v>0</v>
      </c>
      <c r="S796" s="42">
        <f>IF(Q796="HS",I796-P796,0)</f>
        <v>0</v>
      </c>
      <c r="T796" s="42">
        <f>IF(Q796="PS",H796,0)</f>
        <v>0</v>
      </c>
      <c r="U796" s="42">
        <f>IF(Q796="PS",I796-P796,0)</f>
        <v>0</v>
      </c>
      <c r="V796" s="42">
        <f>IF(Q796="MP",H796,0)</f>
        <v>0</v>
      </c>
      <c r="W796" s="42">
        <f>IF(Q796="MP",I796-P796,0)</f>
        <v>0</v>
      </c>
      <c r="X796" s="42">
        <f>IF(Q796="OM",H796,0)</f>
        <v>0</v>
      </c>
      <c r="Y796" s="31" t="s">
        <v>590</v>
      </c>
      <c r="AI796" s="42">
        <f>SUM(Z797:Z798)</f>
        <v>0</v>
      </c>
      <c r="AJ796" s="42">
        <f>SUM(AA797:AA798)</f>
        <v>0</v>
      </c>
      <c r="AK796" s="42">
        <f>SUM(AB797:AB798)</f>
        <v>0</v>
      </c>
    </row>
    <row r="797" spans="1:43" ht="12.75">
      <c r="A797" s="6" t="s">
        <v>479</v>
      </c>
      <c r="B797" s="6" t="s">
        <v>590</v>
      </c>
      <c r="C797" s="6" t="s">
        <v>734</v>
      </c>
      <c r="D797" s="6" t="s">
        <v>1149</v>
      </c>
      <c r="E797" s="6" t="s">
        <v>1494</v>
      </c>
      <c r="F797" s="24">
        <v>0</v>
      </c>
      <c r="G797" s="24">
        <v>0</v>
      </c>
      <c r="H797" s="24">
        <f>F797*AE797</f>
        <v>0</v>
      </c>
      <c r="I797" s="24">
        <f>J797-H797</f>
        <v>0</v>
      </c>
      <c r="J797" s="24">
        <f>F797*G797</f>
        <v>0</v>
      </c>
      <c r="K797" s="24">
        <v>0.03</v>
      </c>
      <c r="L797" s="24">
        <f>F797*K797</f>
        <v>0</v>
      </c>
      <c r="M797" s="36" t="s">
        <v>1524</v>
      </c>
      <c r="N797" s="36" t="s">
        <v>1526</v>
      </c>
      <c r="O797" s="24">
        <f>IF(N797="5",I797,0)</f>
        <v>0</v>
      </c>
      <c r="Z797" s="24">
        <f>IF(AD797=0,J797,0)</f>
        <v>0</v>
      </c>
      <c r="AA797" s="24">
        <f>IF(AD797=15,J797,0)</f>
        <v>0</v>
      </c>
      <c r="AB797" s="24">
        <f>IF(AD797=21,J797,0)</f>
        <v>0</v>
      </c>
      <c r="AD797" s="39">
        <v>15</v>
      </c>
      <c r="AE797" s="39">
        <f>G797*1</f>
        <v>0</v>
      </c>
      <c r="AF797" s="39">
        <f>G797*(1-1)</f>
        <v>0</v>
      </c>
      <c r="AM797" s="39">
        <f>F797*AE797</f>
        <v>0</v>
      </c>
      <c r="AN797" s="39">
        <f>F797*AF797</f>
        <v>0</v>
      </c>
      <c r="AO797" s="40" t="s">
        <v>1587</v>
      </c>
      <c r="AP797" s="40" t="s">
        <v>1605</v>
      </c>
      <c r="AQ797" s="31" t="s">
        <v>1609</v>
      </c>
    </row>
    <row r="798" spans="1:43" ht="12.75">
      <c r="A798" s="6" t="s">
        <v>480</v>
      </c>
      <c r="B798" s="6" t="s">
        <v>590</v>
      </c>
      <c r="C798" s="6" t="s">
        <v>736</v>
      </c>
      <c r="D798" s="6" t="s">
        <v>1151</v>
      </c>
      <c r="E798" s="6" t="s">
        <v>1494</v>
      </c>
      <c r="F798" s="24">
        <v>3</v>
      </c>
      <c r="G798" s="24">
        <v>0</v>
      </c>
      <c r="H798" s="24">
        <f>F798*AE798</f>
        <v>0</v>
      </c>
      <c r="I798" s="24">
        <f>J798-H798</f>
        <v>0</v>
      </c>
      <c r="J798" s="24">
        <f>F798*G798</f>
        <v>0</v>
      </c>
      <c r="K798" s="24">
        <v>0.016</v>
      </c>
      <c r="L798" s="24">
        <f>F798*K798</f>
        <v>0.048</v>
      </c>
      <c r="M798" s="36" t="s">
        <v>1524</v>
      </c>
      <c r="N798" s="36" t="s">
        <v>1526</v>
      </c>
      <c r="O798" s="24">
        <f>IF(N798="5",I798,0)</f>
        <v>0</v>
      </c>
      <c r="Z798" s="24">
        <f>IF(AD798=0,J798,0)</f>
        <v>0</v>
      </c>
      <c r="AA798" s="24">
        <f>IF(AD798=15,J798,0)</f>
        <v>0</v>
      </c>
      <c r="AB798" s="24">
        <f>IF(AD798=21,J798,0)</f>
        <v>0</v>
      </c>
      <c r="AD798" s="39">
        <v>15</v>
      </c>
      <c r="AE798" s="39">
        <f>G798*1</f>
        <v>0</v>
      </c>
      <c r="AF798" s="39">
        <f>G798*(1-1)</f>
        <v>0</v>
      </c>
      <c r="AM798" s="39">
        <f>F798*AE798</f>
        <v>0</v>
      </c>
      <c r="AN798" s="39">
        <f>F798*AF798</f>
        <v>0</v>
      </c>
      <c r="AO798" s="40" t="s">
        <v>1587</v>
      </c>
      <c r="AP798" s="40" t="s">
        <v>1605</v>
      </c>
      <c r="AQ798" s="31" t="s">
        <v>1609</v>
      </c>
    </row>
    <row r="799" spans="1:13" ht="12.75">
      <c r="A799" s="7"/>
      <c r="B799" s="15" t="s">
        <v>591</v>
      </c>
      <c r="C799" s="15"/>
      <c r="D799" s="106" t="s">
        <v>1326</v>
      </c>
      <c r="E799" s="107"/>
      <c r="F799" s="107"/>
      <c r="G799" s="107"/>
      <c r="H799" s="43">
        <f>H800+H804+H807+H813+H815+H820+H825+H829+H831+H833+H835+H837+H839</f>
        <v>0</v>
      </c>
      <c r="I799" s="43">
        <f>I800+I804+I807+I813+I815+I820+I825+I829+I831+I833+I835+I837+I839</f>
        <v>0</v>
      </c>
      <c r="J799" s="43">
        <f>H799+I799</f>
        <v>0</v>
      </c>
      <c r="K799" s="32"/>
      <c r="L799" s="43">
        <f>L800+L804+L807+L813+L815+L820+L825+L829+L831+L833+L835+L837+L839</f>
        <v>17.7210125</v>
      </c>
      <c r="M799" s="32"/>
    </row>
    <row r="800" spans="1:37" ht="12.75">
      <c r="A800" s="4"/>
      <c r="B800" s="14" t="s">
        <v>591</v>
      </c>
      <c r="C800" s="14" t="s">
        <v>67</v>
      </c>
      <c r="D800" s="104" t="s">
        <v>958</v>
      </c>
      <c r="E800" s="105"/>
      <c r="F800" s="105"/>
      <c r="G800" s="105"/>
      <c r="H800" s="42">
        <f>SUM(H801:H803)</f>
        <v>0</v>
      </c>
      <c r="I800" s="42">
        <f>SUM(I801:I803)</f>
        <v>0</v>
      </c>
      <c r="J800" s="42">
        <f>H800+I800</f>
        <v>0</v>
      </c>
      <c r="K800" s="31"/>
      <c r="L800" s="42">
        <f>SUM(L801:L803)</f>
        <v>1.3652250000000001</v>
      </c>
      <c r="M800" s="31"/>
      <c r="P800" s="42">
        <f>IF(Q800="PR",J800,SUM(O801:O803))</f>
        <v>0</v>
      </c>
      <c r="Q800" s="31" t="s">
        <v>1529</v>
      </c>
      <c r="R800" s="42">
        <f>IF(Q800="HS",H800,0)</f>
        <v>0</v>
      </c>
      <c r="S800" s="42">
        <f>IF(Q800="HS",I800-P800,0)</f>
        <v>0</v>
      </c>
      <c r="T800" s="42">
        <f>IF(Q800="PS",H800,0)</f>
        <v>0</v>
      </c>
      <c r="U800" s="42">
        <f>IF(Q800="PS",I800-P800,0)</f>
        <v>0</v>
      </c>
      <c r="V800" s="42">
        <f>IF(Q800="MP",H800,0)</f>
        <v>0</v>
      </c>
      <c r="W800" s="42">
        <f>IF(Q800="MP",I800-P800,0)</f>
        <v>0</v>
      </c>
      <c r="X800" s="42">
        <f>IF(Q800="OM",H800,0)</f>
        <v>0</v>
      </c>
      <c r="Y800" s="31" t="s">
        <v>591</v>
      </c>
      <c r="AI800" s="42">
        <f>SUM(Z801:Z803)</f>
        <v>0</v>
      </c>
      <c r="AJ800" s="42">
        <f>SUM(AA801:AA803)</f>
        <v>0</v>
      </c>
      <c r="AK800" s="42">
        <f>SUM(AB801:AB803)</f>
        <v>0</v>
      </c>
    </row>
    <row r="801" spans="1:43" ht="12.75">
      <c r="A801" s="5" t="s">
        <v>481</v>
      </c>
      <c r="B801" s="5" t="s">
        <v>591</v>
      </c>
      <c r="C801" s="5" t="s">
        <v>685</v>
      </c>
      <c r="D801" s="5" t="s">
        <v>1079</v>
      </c>
      <c r="E801" s="5" t="s">
        <v>1493</v>
      </c>
      <c r="F801" s="22">
        <v>136.25</v>
      </c>
      <c r="G801" s="22">
        <v>0</v>
      </c>
      <c r="H801" s="22">
        <f>F801*AE801</f>
        <v>0</v>
      </c>
      <c r="I801" s="22">
        <f>J801-H801</f>
        <v>0</v>
      </c>
      <c r="J801" s="22">
        <f>F801*G801</f>
        <v>0</v>
      </c>
      <c r="K801" s="22">
        <v>0.00367</v>
      </c>
      <c r="L801" s="22">
        <f>F801*K801</f>
        <v>0.5000375</v>
      </c>
      <c r="M801" s="35" t="s">
        <v>1523</v>
      </c>
      <c r="N801" s="35" t="s">
        <v>7</v>
      </c>
      <c r="O801" s="22">
        <f>IF(N801="5",I801,0)</f>
        <v>0</v>
      </c>
      <c r="Z801" s="22">
        <f>IF(AD801=0,J801,0)</f>
        <v>0</v>
      </c>
      <c r="AA801" s="22">
        <f>IF(AD801=15,J801,0)</f>
        <v>0</v>
      </c>
      <c r="AB801" s="22">
        <f>IF(AD801=21,J801,0)</f>
        <v>0</v>
      </c>
      <c r="AD801" s="39">
        <v>15</v>
      </c>
      <c r="AE801" s="39">
        <f>G801*0.298520693667239</f>
        <v>0</v>
      </c>
      <c r="AF801" s="39">
        <f>G801*(1-0.298520693667239)</f>
        <v>0</v>
      </c>
      <c r="AM801" s="39">
        <f>F801*AE801</f>
        <v>0</v>
      </c>
      <c r="AN801" s="39">
        <f>F801*AF801</f>
        <v>0</v>
      </c>
      <c r="AO801" s="40" t="s">
        <v>1540</v>
      </c>
      <c r="AP801" s="40" t="s">
        <v>1596</v>
      </c>
      <c r="AQ801" s="31" t="s">
        <v>1610</v>
      </c>
    </row>
    <row r="802" ht="12.75">
      <c r="D802" s="18" t="s">
        <v>969</v>
      </c>
    </row>
    <row r="803" spans="1:43" ht="12.75">
      <c r="A803" s="5" t="s">
        <v>482</v>
      </c>
      <c r="B803" s="5" t="s">
        <v>591</v>
      </c>
      <c r="C803" s="5" t="s">
        <v>596</v>
      </c>
      <c r="D803" s="5" t="s">
        <v>964</v>
      </c>
      <c r="E803" s="5" t="s">
        <v>1493</v>
      </c>
      <c r="F803" s="22">
        <v>136.25</v>
      </c>
      <c r="G803" s="22">
        <v>0</v>
      </c>
      <c r="H803" s="22">
        <f>F803*AE803</f>
        <v>0</v>
      </c>
      <c r="I803" s="22">
        <f>J803-H803</f>
        <v>0</v>
      </c>
      <c r="J803" s="22">
        <f>F803*G803</f>
        <v>0</v>
      </c>
      <c r="K803" s="22">
        <v>0.00635</v>
      </c>
      <c r="L803" s="22">
        <f>F803*K803</f>
        <v>0.8651875</v>
      </c>
      <c r="M803" s="35" t="s">
        <v>1523</v>
      </c>
      <c r="N803" s="35" t="s">
        <v>7</v>
      </c>
      <c r="O803" s="22">
        <f>IF(N803="5",I803,0)</f>
        <v>0</v>
      </c>
      <c r="Z803" s="22">
        <f>IF(AD803=0,J803,0)</f>
        <v>0</v>
      </c>
      <c r="AA803" s="22">
        <f>IF(AD803=15,J803,0)</f>
        <v>0</v>
      </c>
      <c r="AB803" s="22">
        <f>IF(AD803=21,J803,0)</f>
        <v>0</v>
      </c>
      <c r="AD803" s="39">
        <v>15</v>
      </c>
      <c r="AE803" s="39">
        <f>G803*0.0665993945509586</f>
        <v>0</v>
      </c>
      <c r="AF803" s="39">
        <f>G803*(1-0.0665993945509586)</f>
        <v>0</v>
      </c>
      <c r="AM803" s="39">
        <f>F803*AE803</f>
        <v>0</v>
      </c>
      <c r="AN803" s="39">
        <f>F803*AF803</f>
        <v>0</v>
      </c>
      <c r="AO803" s="40" t="s">
        <v>1540</v>
      </c>
      <c r="AP803" s="40" t="s">
        <v>1596</v>
      </c>
      <c r="AQ803" s="31" t="s">
        <v>1610</v>
      </c>
    </row>
    <row r="804" spans="1:37" ht="12.75">
      <c r="A804" s="4"/>
      <c r="B804" s="14" t="s">
        <v>591</v>
      </c>
      <c r="C804" s="14" t="s">
        <v>694</v>
      </c>
      <c r="D804" s="104" t="s">
        <v>1103</v>
      </c>
      <c r="E804" s="105"/>
      <c r="F804" s="105"/>
      <c r="G804" s="105"/>
      <c r="H804" s="42">
        <f>SUM(H805:H806)</f>
        <v>0</v>
      </c>
      <c r="I804" s="42">
        <f>SUM(I805:I806)</f>
        <v>0</v>
      </c>
      <c r="J804" s="42">
        <f>H804+I804</f>
        <v>0</v>
      </c>
      <c r="K804" s="31"/>
      <c r="L804" s="42">
        <f>SUM(L805:L806)</f>
        <v>0.0777</v>
      </c>
      <c r="M804" s="31"/>
      <c r="P804" s="42">
        <f>IF(Q804="PR",J804,SUM(O805:O806))</f>
        <v>0</v>
      </c>
      <c r="Q804" s="31" t="s">
        <v>1530</v>
      </c>
      <c r="R804" s="42">
        <f>IF(Q804="HS",H804,0)</f>
        <v>0</v>
      </c>
      <c r="S804" s="42">
        <f>IF(Q804="HS",I804-P804,0)</f>
        <v>0</v>
      </c>
      <c r="T804" s="42">
        <f>IF(Q804="PS",H804,0)</f>
        <v>0</v>
      </c>
      <c r="U804" s="42">
        <f>IF(Q804="PS",I804-P804,0)</f>
        <v>0</v>
      </c>
      <c r="V804" s="42">
        <f>IF(Q804="MP",H804,0)</f>
        <v>0</v>
      </c>
      <c r="W804" s="42">
        <f>IF(Q804="MP",I804-P804,0)</f>
        <v>0</v>
      </c>
      <c r="X804" s="42">
        <f>IF(Q804="OM",H804,0)</f>
        <v>0</v>
      </c>
      <c r="Y804" s="31" t="s">
        <v>591</v>
      </c>
      <c r="AI804" s="42">
        <f>SUM(Z805:Z806)</f>
        <v>0</v>
      </c>
      <c r="AJ804" s="42">
        <f>SUM(AA805:AA806)</f>
        <v>0</v>
      </c>
      <c r="AK804" s="42">
        <f>SUM(AB805:AB806)</f>
        <v>0</v>
      </c>
    </row>
    <row r="805" spans="1:43" ht="12.75">
      <c r="A805" s="5" t="s">
        <v>483</v>
      </c>
      <c r="B805" s="5" t="s">
        <v>591</v>
      </c>
      <c r="C805" s="5" t="s">
        <v>856</v>
      </c>
      <c r="D805" s="5" t="s">
        <v>1327</v>
      </c>
      <c r="E805" s="5" t="s">
        <v>1494</v>
      </c>
      <c r="F805" s="22">
        <v>1</v>
      </c>
      <c r="G805" s="22">
        <v>0</v>
      </c>
      <c r="H805" s="22">
        <f>F805*AE805</f>
        <v>0</v>
      </c>
      <c r="I805" s="22">
        <f>J805-H805</f>
        <v>0</v>
      </c>
      <c r="J805" s="22">
        <f>F805*G805</f>
        <v>0</v>
      </c>
      <c r="K805" s="22">
        <v>0.03885</v>
      </c>
      <c r="L805" s="22">
        <f>F805*K805</f>
        <v>0.03885</v>
      </c>
      <c r="M805" s="35" t="s">
        <v>1523</v>
      </c>
      <c r="N805" s="35" t="s">
        <v>9</v>
      </c>
      <c r="O805" s="22">
        <f>IF(N805="5",I805,0)</f>
        <v>0</v>
      </c>
      <c r="Z805" s="22">
        <f>IF(AD805=0,J805,0)</f>
        <v>0</v>
      </c>
      <c r="AA805" s="22">
        <f>IF(AD805=15,J805,0)</f>
        <v>0</v>
      </c>
      <c r="AB805" s="22">
        <f>IF(AD805=21,J805,0)</f>
        <v>0</v>
      </c>
      <c r="AD805" s="39">
        <v>15</v>
      </c>
      <c r="AE805" s="39">
        <f>G805*0.619916</f>
        <v>0</v>
      </c>
      <c r="AF805" s="39">
        <f>G805*(1-0.619916)</f>
        <v>0</v>
      </c>
      <c r="AM805" s="39">
        <f>F805*AE805</f>
        <v>0</v>
      </c>
      <c r="AN805" s="39">
        <f>F805*AF805</f>
        <v>0</v>
      </c>
      <c r="AO805" s="40" t="s">
        <v>1563</v>
      </c>
      <c r="AP805" s="40" t="s">
        <v>1604</v>
      </c>
      <c r="AQ805" s="31" t="s">
        <v>1610</v>
      </c>
    </row>
    <row r="806" spans="1:43" ht="12.75">
      <c r="A806" s="5" t="s">
        <v>484</v>
      </c>
      <c r="B806" s="5" t="s">
        <v>591</v>
      </c>
      <c r="C806" s="5" t="s">
        <v>857</v>
      </c>
      <c r="D806" s="5" t="s">
        <v>1328</v>
      </c>
      <c r="E806" s="5" t="s">
        <v>1494</v>
      </c>
      <c r="F806" s="22">
        <v>1</v>
      </c>
      <c r="G806" s="22">
        <v>0</v>
      </c>
      <c r="H806" s="22">
        <f>F806*AE806</f>
        <v>0</v>
      </c>
      <c r="I806" s="22">
        <f>J806-H806</f>
        <v>0</v>
      </c>
      <c r="J806" s="22">
        <f>F806*G806</f>
        <v>0</v>
      </c>
      <c r="K806" s="22">
        <v>0.03885</v>
      </c>
      <c r="L806" s="22">
        <f>F806*K806</f>
        <v>0.03885</v>
      </c>
      <c r="M806" s="35" t="s">
        <v>1523</v>
      </c>
      <c r="N806" s="35" t="s">
        <v>9</v>
      </c>
      <c r="O806" s="22">
        <f>IF(N806="5",I806,0)</f>
        <v>0</v>
      </c>
      <c r="Z806" s="22">
        <f>IF(AD806=0,J806,0)</f>
        <v>0</v>
      </c>
      <c r="AA806" s="22">
        <f>IF(AD806=15,J806,0)</f>
        <v>0</v>
      </c>
      <c r="AB806" s="22">
        <f>IF(AD806=21,J806,0)</f>
        <v>0</v>
      </c>
      <c r="AD806" s="39">
        <v>15</v>
      </c>
      <c r="AE806" s="39">
        <f>G806*0.6199164</f>
        <v>0</v>
      </c>
      <c r="AF806" s="39">
        <f>G806*(1-0.6199164)</f>
        <v>0</v>
      </c>
      <c r="AM806" s="39">
        <f>F806*AE806</f>
        <v>0</v>
      </c>
      <c r="AN806" s="39">
        <f>F806*AF806</f>
        <v>0</v>
      </c>
      <c r="AO806" s="40" t="s">
        <v>1563</v>
      </c>
      <c r="AP806" s="40" t="s">
        <v>1604</v>
      </c>
      <c r="AQ806" s="31" t="s">
        <v>1610</v>
      </c>
    </row>
    <row r="807" spans="1:37" ht="12.75">
      <c r="A807" s="4"/>
      <c r="B807" s="14" t="s">
        <v>591</v>
      </c>
      <c r="C807" s="14" t="s">
        <v>705</v>
      </c>
      <c r="D807" s="104" t="s">
        <v>1116</v>
      </c>
      <c r="E807" s="105"/>
      <c r="F807" s="105"/>
      <c r="G807" s="105"/>
      <c r="H807" s="42">
        <f>SUM(H808:H812)</f>
        <v>0</v>
      </c>
      <c r="I807" s="42">
        <f>SUM(I808:I812)</f>
        <v>0</v>
      </c>
      <c r="J807" s="42">
        <f>H807+I807</f>
        <v>0</v>
      </c>
      <c r="K807" s="31"/>
      <c r="L807" s="42">
        <f>SUM(L808:L812)</f>
        <v>0.04625</v>
      </c>
      <c r="M807" s="31"/>
      <c r="P807" s="42">
        <f>IF(Q807="PR",J807,SUM(O808:O812))</f>
        <v>0</v>
      </c>
      <c r="Q807" s="31" t="s">
        <v>1530</v>
      </c>
      <c r="R807" s="42">
        <f>IF(Q807="HS",H807,0)</f>
        <v>0</v>
      </c>
      <c r="S807" s="42">
        <f>IF(Q807="HS",I807-P807,0)</f>
        <v>0</v>
      </c>
      <c r="T807" s="42">
        <f>IF(Q807="PS",H807,0)</f>
        <v>0</v>
      </c>
      <c r="U807" s="42">
        <f>IF(Q807="PS",I807-P807,0)</f>
        <v>0</v>
      </c>
      <c r="V807" s="42">
        <f>IF(Q807="MP",H807,0)</f>
        <v>0</v>
      </c>
      <c r="W807" s="42">
        <f>IF(Q807="MP",I807-P807,0)</f>
        <v>0</v>
      </c>
      <c r="X807" s="42">
        <f>IF(Q807="OM",H807,0)</f>
        <v>0</v>
      </c>
      <c r="Y807" s="31" t="s">
        <v>591</v>
      </c>
      <c r="AI807" s="42">
        <f>SUM(Z808:Z812)</f>
        <v>0</v>
      </c>
      <c r="AJ807" s="42">
        <f>SUM(AA808:AA812)</f>
        <v>0</v>
      </c>
      <c r="AK807" s="42">
        <f>SUM(AB808:AB812)</f>
        <v>0</v>
      </c>
    </row>
    <row r="808" spans="1:43" ht="12.75">
      <c r="A808" s="5" t="s">
        <v>485</v>
      </c>
      <c r="B808" s="5" t="s">
        <v>591</v>
      </c>
      <c r="C808" s="5" t="s">
        <v>858</v>
      </c>
      <c r="D808" s="5" t="s">
        <v>1329</v>
      </c>
      <c r="E808" s="5" t="s">
        <v>1494</v>
      </c>
      <c r="F808" s="22">
        <v>1</v>
      </c>
      <c r="G808" s="22">
        <v>0</v>
      </c>
      <c r="H808" s="22">
        <f>F808*AE808</f>
        <v>0</v>
      </c>
      <c r="I808" s="22">
        <f>J808-H808</f>
        <v>0</v>
      </c>
      <c r="J808" s="22">
        <f>F808*G808</f>
        <v>0</v>
      </c>
      <c r="K808" s="22">
        <v>0.03</v>
      </c>
      <c r="L808" s="22">
        <f>F808*K808</f>
        <v>0.03</v>
      </c>
      <c r="M808" s="35" t="s">
        <v>1523</v>
      </c>
      <c r="N808" s="35" t="s">
        <v>7</v>
      </c>
      <c r="O808" s="22">
        <f>IF(N808="5",I808,0)</f>
        <v>0</v>
      </c>
      <c r="Z808" s="22">
        <f>IF(AD808=0,J808,0)</f>
        <v>0</v>
      </c>
      <c r="AA808" s="22">
        <f>IF(AD808=15,J808,0)</f>
        <v>0</v>
      </c>
      <c r="AB808" s="22">
        <f>IF(AD808=21,J808,0)</f>
        <v>0</v>
      </c>
      <c r="AD808" s="39">
        <v>15</v>
      </c>
      <c r="AE808" s="39">
        <f>G808*0.959780976863753</f>
        <v>0</v>
      </c>
      <c r="AF808" s="39">
        <f>G808*(1-0.959780976863753)</f>
        <v>0</v>
      </c>
      <c r="AM808" s="39">
        <f>F808*AE808</f>
        <v>0</v>
      </c>
      <c r="AN808" s="39">
        <f>F808*AF808</f>
        <v>0</v>
      </c>
      <c r="AO808" s="40" t="s">
        <v>1564</v>
      </c>
      <c r="AP808" s="40" t="s">
        <v>1604</v>
      </c>
      <c r="AQ808" s="31" t="s">
        <v>1610</v>
      </c>
    </row>
    <row r="809" ht="12.75">
      <c r="D809" s="18" t="s">
        <v>1330</v>
      </c>
    </row>
    <row r="810" spans="1:43" ht="12.75">
      <c r="A810" s="5" t="s">
        <v>486</v>
      </c>
      <c r="B810" s="5" t="s">
        <v>591</v>
      </c>
      <c r="C810" s="5" t="s">
        <v>859</v>
      </c>
      <c r="D810" s="5" t="s">
        <v>1331</v>
      </c>
      <c r="E810" s="5" t="s">
        <v>1494</v>
      </c>
      <c r="F810" s="22">
        <v>1</v>
      </c>
      <c r="G810" s="22">
        <v>0</v>
      </c>
      <c r="H810" s="22">
        <f>F810*AE810</f>
        <v>0</v>
      </c>
      <c r="I810" s="22">
        <f>J810-H810</f>
        <v>0</v>
      </c>
      <c r="J810" s="22">
        <f>F810*G810</f>
        <v>0</v>
      </c>
      <c r="K810" s="22">
        <v>0</v>
      </c>
      <c r="L810" s="22">
        <f>F810*K810</f>
        <v>0</v>
      </c>
      <c r="M810" s="35" t="s">
        <v>1523</v>
      </c>
      <c r="N810" s="35" t="s">
        <v>7</v>
      </c>
      <c r="O810" s="22">
        <f>IF(N810="5",I810,0)</f>
        <v>0</v>
      </c>
      <c r="Z810" s="22">
        <f>IF(AD810=0,J810,0)</f>
        <v>0</v>
      </c>
      <c r="AA810" s="22">
        <f>IF(AD810=15,J810,0)</f>
        <v>0</v>
      </c>
      <c r="AB810" s="22">
        <f>IF(AD810=21,J810,0)</f>
        <v>0</v>
      </c>
      <c r="AD810" s="39">
        <v>15</v>
      </c>
      <c r="AE810" s="39">
        <f>G810*0</f>
        <v>0</v>
      </c>
      <c r="AF810" s="39">
        <f>G810*(1-0)</f>
        <v>0</v>
      </c>
      <c r="AM810" s="39">
        <f>F810*AE810</f>
        <v>0</v>
      </c>
      <c r="AN810" s="39">
        <f>F810*AF810</f>
        <v>0</v>
      </c>
      <c r="AO810" s="40" t="s">
        <v>1564</v>
      </c>
      <c r="AP810" s="40" t="s">
        <v>1604</v>
      </c>
      <c r="AQ810" s="31" t="s">
        <v>1610</v>
      </c>
    </row>
    <row r="811" spans="1:43" ht="12.75">
      <c r="A811" s="5" t="s">
        <v>487</v>
      </c>
      <c r="B811" s="5" t="s">
        <v>591</v>
      </c>
      <c r="C811" s="5" t="s">
        <v>860</v>
      </c>
      <c r="D811" s="5" t="s">
        <v>1332</v>
      </c>
      <c r="E811" s="5" t="s">
        <v>1500</v>
      </c>
      <c r="F811" s="22">
        <v>1</v>
      </c>
      <c r="G811" s="22">
        <v>0</v>
      </c>
      <c r="H811" s="22">
        <f>F811*AE811</f>
        <v>0</v>
      </c>
      <c r="I811" s="22">
        <f>J811-H811</f>
        <v>0</v>
      </c>
      <c r="J811" s="22">
        <f>F811*G811</f>
        <v>0</v>
      </c>
      <c r="K811" s="22">
        <v>0</v>
      </c>
      <c r="L811" s="22">
        <f>F811*K811</f>
        <v>0</v>
      </c>
      <c r="M811" s="35" t="s">
        <v>1523</v>
      </c>
      <c r="N811" s="35" t="s">
        <v>7</v>
      </c>
      <c r="O811" s="22">
        <f>IF(N811="5",I811,0)</f>
        <v>0</v>
      </c>
      <c r="Z811" s="22">
        <f>IF(AD811=0,J811,0)</f>
        <v>0</v>
      </c>
      <c r="AA811" s="22">
        <f>IF(AD811=15,J811,0)</f>
        <v>0</v>
      </c>
      <c r="AB811" s="22">
        <f>IF(AD811=21,J811,0)</f>
        <v>0</v>
      </c>
      <c r="AD811" s="39">
        <v>15</v>
      </c>
      <c r="AE811" s="39">
        <f>G811*0</f>
        <v>0</v>
      </c>
      <c r="AF811" s="39">
        <f>G811*(1-0)</f>
        <v>0</v>
      </c>
      <c r="AM811" s="39">
        <f>F811*AE811</f>
        <v>0</v>
      </c>
      <c r="AN811" s="39">
        <f>F811*AF811</f>
        <v>0</v>
      </c>
      <c r="AO811" s="40" t="s">
        <v>1564</v>
      </c>
      <c r="AP811" s="40" t="s">
        <v>1604</v>
      </c>
      <c r="AQ811" s="31" t="s">
        <v>1610</v>
      </c>
    </row>
    <row r="812" spans="1:43" ht="12.75">
      <c r="A812" s="5" t="s">
        <v>488</v>
      </c>
      <c r="B812" s="5" t="s">
        <v>591</v>
      </c>
      <c r="C812" s="5" t="s">
        <v>861</v>
      </c>
      <c r="D812" s="5" t="s">
        <v>1333</v>
      </c>
      <c r="E812" s="5" t="s">
        <v>1494</v>
      </c>
      <c r="F812" s="22">
        <v>1</v>
      </c>
      <c r="G812" s="22">
        <v>0</v>
      </c>
      <c r="H812" s="22">
        <f>F812*AE812</f>
        <v>0</v>
      </c>
      <c r="I812" s="22">
        <f>J812-H812</f>
        <v>0</v>
      </c>
      <c r="J812" s="22">
        <f>F812*G812</f>
        <v>0</v>
      </c>
      <c r="K812" s="22">
        <v>0.01625</v>
      </c>
      <c r="L812" s="22">
        <f>F812*K812</f>
        <v>0.01625</v>
      </c>
      <c r="M812" s="35" t="s">
        <v>1523</v>
      </c>
      <c r="N812" s="35" t="s">
        <v>9</v>
      </c>
      <c r="O812" s="22">
        <f>IF(N812="5",I812,0)</f>
        <v>0</v>
      </c>
      <c r="Z812" s="22">
        <f>IF(AD812=0,J812,0)</f>
        <v>0</v>
      </c>
      <c r="AA812" s="22">
        <f>IF(AD812=15,J812,0)</f>
        <v>0</v>
      </c>
      <c r="AB812" s="22">
        <f>IF(AD812=21,J812,0)</f>
        <v>0</v>
      </c>
      <c r="AD812" s="39">
        <v>15</v>
      </c>
      <c r="AE812" s="39">
        <f>G812*0.55122125</f>
        <v>0</v>
      </c>
      <c r="AF812" s="39">
        <f>G812*(1-0.55122125)</f>
        <v>0</v>
      </c>
      <c r="AM812" s="39">
        <f>F812*AE812</f>
        <v>0</v>
      </c>
      <c r="AN812" s="39">
        <f>F812*AF812</f>
        <v>0</v>
      </c>
      <c r="AO812" s="40" t="s">
        <v>1564</v>
      </c>
      <c r="AP812" s="40" t="s">
        <v>1604</v>
      </c>
      <c r="AQ812" s="31" t="s">
        <v>1610</v>
      </c>
    </row>
    <row r="813" spans="1:37" ht="12.75">
      <c r="A813" s="4"/>
      <c r="B813" s="14" t="s">
        <v>591</v>
      </c>
      <c r="C813" s="14" t="s">
        <v>783</v>
      </c>
      <c r="D813" s="104" t="s">
        <v>1211</v>
      </c>
      <c r="E813" s="105"/>
      <c r="F813" s="105"/>
      <c r="G813" s="105"/>
      <c r="H813" s="42">
        <f>SUM(H814:H814)</f>
        <v>0</v>
      </c>
      <c r="I813" s="42">
        <f>SUM(I814:I814)</f>
        <v>0</v>
      </c>
      <c r="J813" s="42">
        <f>H813+I813</f>
        <v>0</v>
      </c>
      <c r="K813" s="31"/>
      <c r="L813" s="42">
        <f>SUM(L814:L814)</f>
        <v>0.01808</v>
      </c>
      <c r="M813" s="31"/>
      <c r="P813" s="42">
        <f>IF(Q813="PR",J813,SUM(O814:O814))</f>
        <v>0</v>
      </c>
      <c r="Q813" s="31" t="s">
        <v>1530</v>
      </c>
      <c r="R813" s="42">
        <f>IF(Q813="HS",H813,0)</f>
        <v>0</v>
      </c>
      <c r="S813" s="42">
        <f>IF(Q813="HS",I813-P813,0)</f>
        <v>0</v>
      </c>
      <c r="T813" s="42">
        <f>IF(Q813="PS",H813,0)</f>
        <v>0</v>
      </c>
      <c r="U813" s="42">
        <f>IF(Q813="PS",I813-P813,0)</f>
        <v>0</v>
      </c>
      <c r="V813" s="42">
        <f>IF(Q813="MP",H813,0)</f>
        <v>0</v>
      </c>
      <c r="W813" s="42">
        <f>IF(Q813="MP",I813-P813,0)</f>
        <v>0</v>
      </c>
      <c r="X813" s="42">
        <f>IF(Q813="OM",H813,0)</f>
        <v>0</v>
      </c>
      <c r="Y813" s="31" t="s">
        <v>591</v>
      </c>
      <c r="AI813" s="42">
        <f>SUM(Z814:Z814)</f>
        <v>0</v>
      </c>
      <c r="AJ813" s="42">
        <f>SUM(AA814:AA814)</f>
        <v>0</v>
      </c>
      <c r="AK813" s="42">
        <f>SUM(AB814:AB814)</f>
        <v>0</v>
      </c>
    </row>
    <row r="814" spans="1:43" ht="12.75">
      <c r="A814" s="5" t="s">
        <v>489</v>
      </c>
      <c r="B814" s="5" t="s">
        <v>591</v>
      </c>
      <c r="C814" s="5" t="s">
        <v>862</v>
      </c>
      <c r="D814" s="5" t="s">
        <v>1334</v>
      </c>
      <c r="E814" s="5" t="s">
        <v>1494</v>
      </c>
      <c r="F814" s="22">
        <v>1</v>
      </c>
      <c r="G814" s="22">
        <v>0</v>
      </c>
      <c r="H814" s="22">
        <f>F814*AE814</f>
        <v>0</v>
      </c>
      <c r="I814" s="22">
        <f>J814-H814</f>
        <v>0</v>
      </c>
      <c r="J814" s="22">
        <f>F814*G814</f>
        <v>0</v>
      </c>
      <c r="K814" s="22">
        <v>0.01808</v>
      </c>
      <c r="L814" s="22">
        <f>F814*K814</f>
        <v>0.01808</v>
      </c>
      <c r="M814" s="35" t="s">
        <v>1523</v>
      </c>
      <c r="N814" s="35" t="s">
        <v>9</v>
      </c>
      <c r="O814" s="22">
        <f>IF(N814="5",I814,0)</f>
        <v>0</v>
      </c>
      <c r="Z814" s="22">
        <f>IF(AD814=0,J814,0)</f>
        <v>0</v>
      </c>
      <c r="AA814" s="22">
        <f>IF(AD814=15,J814,0)</f>
        <v>0</v>
      </c>
      <c r="AB814" s="22">
        <f>IF(AD814=21,J814,0)</f>
        <v>0</v>
      </c>
      <c r="AD814" s="39">
        <v>15</v>
      </c>
      <c r="AE814" s="39">
        <f>G814*0.448454054054054</f>
        <v>0</v>
      </c>
      <c r="AF814" s="39">
        <f>G814*(1-0.448454054054054)</f>
        <v>0</v>
      </c>
      <c r="AM814" s="39">
        <f>F814*AE814</f>
        <v>0</v>
      </c>
      <c r="AN814" s="39">
        <f>F814*AF814</f>
        <v>0</v>
      </c>
      <c r="AO814" s="40" t="s">
        <v>1570</v>
      </c>
      <c r="AP814" s="40" t="s">
        <v>1599</v>
      </c>
      <c r="AQ814" s="31" t="s">
        <v>1610</v>
      </c>
    </row>
    <row r="815" spans="1:37" ht="12.75">
      <c r="A815" s="4"/>
      <c r="B815" s="14" t="s">
        <v>591</v>
      </c>
      <c r="C815" s="14" t="s">
        <v>863</v>
      </c>
      <c r="D815" s="104" t="s">
        <v>1335</v>
      </c>
      <c r="E815" s="105"/>
      <c r="F815" s="105"/>
      <c r="G815" s="105"/>
      <c r="H815" s="42">
        <f>SUM(H816:H816)</f>
        <v>0</v>
      </c>
      <c r="I815" s="42">
        <f>SUM(I816:I816)</f>
        <v>0</v>
      </c>
      <c r="J815" s="42">
        <f>H815+I815</f>
        <v>0</v>
      </c>
      <c r="K815" s="31"/>
      <c r="L815" s="42">
        <f>SUM(L816:L816)</f>
        <v>0</v>
      </c>
      <c r="M815" s="31"/>
      <c r="P815" s="42">
        <f>IF(Q815="PR",J815,SUM(O816:O816))</f>
        <v>0</v>
      </c>
      <c r="Q815" s="31" t="s">
        <v>1530</v>
      </c>
      <c r="R815" s="42">
        <f>IF(Q815="HS",H815,0)</f>
        <v>0</v>
      </c>
      <c r="S815" s="42">
        <f>IF(Q815="HS",I815-P815,0)</f>
        <v>0</v>
      </c>
      <c r="T815" s="42">
        <f>IF(Q815="PS",H815,0)</f>
        <v>0</v>
      </c>
      <c r="U815" s="42">
        <f>IF(Q815="PS",I815-P815,0)</f>
        <v>0</v>
      </c>
      <c r="V815" s="42">
        <f>IF(Q815="MP",H815,0)</f>
        <v>0</v>
      </c>
      <c r="W815" s="42">
        <f>IF(Q815="MP",I815-P815,0)</f>
        <v>0</v>
      </c>
      <c r="X815" s="42">
        <f>IF(Q815="OM",H815,0)</f>
        <v>0</v>
      </c>
      <c r="Y815" s="31" t="s">
        <v>591</v>
      </c>
      <c r="AI815" s="42">
        <f>SUM(Z816:Z816)</f>
        <v>0</v>
      </c>
      <c r="AJ815" s="42">
        <f>SUM(AA816:AA816)</f>
        <v>0</v>
      </c>
      <c r="AK815" s="42">
        <f>SUM(AB816:AB816)</f>
        <v>0</v>
      </c>
    </row>
    <row r="816" spans="1:43" ht="12.75">
      <c r="A816" s="5" t="s">
        <v>490</v>
      </c>
      <c r="B816" s="5" t="s">
        <v>591</v>
      </c>
      <c r="C816" s="5" t="s">
        <v>864</v>
      </c>
      <c r="D816" s="5" t="s">
        <v>1336</v>
      </c>
      <c r="E816" s="5" t="s">
        <v>1493</v>
      </c>
      <c r="F816" s="22">
        <v>50.68</v>
      </c>
      <c r="G816" s="22">
        <v>0</v>
      </c>
      <c r="H816" s="22">
        <f>F816*AE816</f>
        <v>0</v>
      </c>
      <c r="I816" s="22">
        <f>J816-H816</f>
        <v>0</v>
      </c>
      <c r="J816" s="22">
        <f>F816*G816</f>
        <v>0</v>
      </c>
      <c r="K816" s="22">
        <v>0</v>
      </c>
      <c r="L816" s="22">
        <f>F816*K816</f>
        <v>0</v>
      </c>
      <c r="M816" s="35" t="s">
        <v>1523</v>
      </c>
      <c r="N816" s="35" t="s">
        <v>7</v>
      </c>
      <c r="O816" s="22">
        <f>IF(N816="5",I816,0)</f>
        <v>0</v>
      </c>
      <c r="Z816" s="22">
        <f>IF(AD816=0,J816,0)</f>
        <v>0</v>
      </c>
      <c r="AA816" s="22">
        <f>IF(AD816=15,J816,0)</f>
        <v>0</v>
      </c>
      <c r="AB816" s="22">
        <f>IF(AD816=21,J816,0)</f>
        <v>0</v>
      </c>
      <c r="AD816" s="39">
        <v>15</v>
      </c>
      <c r="AE816" s="39">
        <f>G816*0</f>
        <v>0</v>
      </c>
      <c r="AF816" s="39">
        <f>G816*(1-0)</f>
        <v>0</v>
      </c>
      <c r="AM816" s="39">
        <f>F816*AE816</f>
        <v>0</v>
      </c>
      <c r="AN816" s="39">
        <f>F816*AF816</f>
        <v>0</v>
      </c>
      <c r="AO816" s="40" t="s">
        <v>1588</v>
      </c>
      <c r="AP816" s="40" t="s">
        <v>1600</v>
      </c>
      <c r="AQ816" s="31" t="s">
        <v>1610</v>
      </c>
    </row>
    <row r="817" ht="12.75">
      <c r="D817" s="18" t="s">
        <v>1337</v>
      </c>
    </row>
    <row r="818" spans="4:6" ht="10.5" customHeight="1">
      <c r="D818" s="17" t="s">
        <v>1338</v>
      </c>
      <c r="F818" s="23">
        <v>19.32</v>
      </c>
    </row>
    <row r="819" spans="4:6" ht="10.5" customHeight="1">
      <c r="D819" s="17" t="s">
        <v>1339</v>
      </c>
      <c r="F819" s="23">
        <v>31.36</v>
      </c>
    </row>
    <row r="820" spans="1:37" ht="12.75">
      <c r="A820" s="4"/>
      <c r="B820" s="14" t="s">
        <v>591</v>
      </c>
      <c r="C820" s="14" t="s">
        <v>638</v>
      </c>
      <c r="D820" s="104" t="s">
        <v>1012</v>
      </c>
      <c r="E820" s="105"/>
      <c r="F820" s="105"/>
      <c r="G820" s="105"/>
      <c r="H820" s="42">
        <f>SUM(H821:H821)</f>
        <v>0</v>
      </c>
      <c r="I820" s="42">
        <f>SUM(I821:I821)</f>
        <v>0</v>
      </c>
      <c r="J820" s="42">
        <f>H820+I820</f>
        <v>0</v>
      </c>
      <c r="K820" s="31"/>
      <c r="L820" s="42">
        <f>SUM(L821:L821)</f>
        <v>0.0013625000000000002</v>
      </c>
      <c r="M820" s="31"/>
      <c r="P820" s="42">
        <f>IF(Q820="PR",J820,SUM(O821:O821))</f>
        <v>0</v>
      </c>
      <c r="Q820" s="31" t="s">
        <v>1530</v>
      </c>
      <c r="R820" s="42">
        <f>IF(Q820="HS",H820,0)</f>
        <v>0</v>
      </c>
      <c r="S820" s="42">
        <f>IF(Q820="HS",I820-P820,0)</f>
        <v>0</v>
      </c>
      <c r="T820" s="42">
        <f>IF(Q820="PS",H820,0)</f>
        <v>0</v>
      </c>
      <c r="U820" s="42">
        <f>IF(Q820="PS",I820-P820,0)</f>
        <v>0</v>
      </c>
      <c r="V820" s="42">
        <f>IF(Q820="MP",H820,0)</f>
        <v>0</v>
      </c>
      <c r="W820" s="42">
        <f>IF(Q820="MP",I820-P820,0)</f>
        <v>0</v>
      </c>
      <c r="X820" s="42">
        <f>IF(Q820="OM",H820,0)</f>
        <v>0</v>
      </c>
      <c r="Y820" s="31" t="s">
        <v>591</v>
      </c>
      <c r="AI820" s="42">
        <f>SUM(Z821:Z821)</f>
        <v>0</v>
      </c>
      <c r="AJ820" s="42">
        <f>SUM(AA821:AA821)</f>
        <v>0</v>
      </c>
      <c r="AK820" s="42">
        <f>SUM(AB821:AB821)</f>
        <v>0</v>
      </c>
    </row>
    <row r="821" spans="1:43" ht="12.75">
      <c r="A821" s="5" t="s">
        <v>491</v>
      </c>
      <c r="B821" s="5" t="s">
        <v>591</v>
      </c>
      <c r="C821" s="5" t="s">
        <v>639</v>
      </c>
      <c r="D821" s="5" t="s">
        <v>1013</v>
      </c>
      <c r="E821" s="5" t="s">
        <v>1493</v>
      </c>
      <c r="F821" s="22">
        <v>136.25</v>
      </c>
      <c r="G821" s="22">
        <v>0</v>
      </c>
      <c r="H821" s="22">
        <f>F821*AE821</f>
        <v>0</v>
      </c>
      <c r="I821" s="22">
        <f>J821-H821</f>
        <v>0</v>
      </c>
      <c r="J821" s="22">
        <f>F821*G821</f>
        <v>0</v>
      </c>
      <c r="K821" s="22">
        <v>1E-05</v>
      </c>
      <c r="L821" s="22">
        <f>F821*K821</f>
        <v>0.0013625000000000002</v>
      </c>
      <c r="M821" s="35" t="s">
        <v>1523</v>
      </c>
      <c r="N821" s="35" t="s">
        <v>7</v>
      </c>
      <c r="O821" s="22">
        <f>IF(N821="5",I821,0)</f>
        <v>0</v>
      </c>
      <c r="Z821" s="22">
        <f>IF(AD821=0,J821,0)</f>
        <v>0</v>
      </c>
      <c r="AA821" s="22">
        <f>IF(AD821=15,J821,0)</f>
        <v>0</v>
      </c>
      <c r="AB821" s="22">
        <f>IF(AD821=21,J821,0)</f>
        <v>0</v>
      </c>
      <c r="AD821" s="39">
        <v>15</v>
      </c>
      <c r="AE821" s="39">
        <f>G821*0.0915384615384615</f>
        <v>0</v>
      </c>
      <c r="AF821" s="39">
        <f>G821*(1-0.0915384615384615)</f>
        <v>0</v>
      </c>
      <c r="AM821" s="39">
        <f>F821*AE821</f>
        <v>0</v>
      </c>
      <c r="AN821" s="39">
        <f>F821*AF821</f>
        <v>0</v>
      </c>
      <c r="AO821" s="40" t="s">
        <v>1548</v>
      </c>
      <c r="AP821" s="40" t="s">
        <v>1601</v>
      </c>
      <c r="AQ821" s="31" t="s">
        <v>1610</v>
      </c>
    </row>
    <row r="822" spans="4:6" ht="10.5" customHeight="1">
      <c r="D822" s="17" t="s">
        <v>1340</v>
      </c>
      <c r="F822" s="23">
        <v>94.16</v>
      </c>
    </row>
    <row r="823" spans="4:6" ht="10.5" customHeight="1">
      <c r="D823" s="17" t="s">
        <v>1341</v>
      </c>
      <c r="F823" s="23">
        <v>9.66</v>
      </c>
    </row>
    <row r="824" spans="4:6" ht="10.5" customHeight="1">
      <c r="D824" s="17" t="s">
        <v>1342</v>
      </c>
      <c r="F824" s="23">
        <v>32.43</v>
      </c>
    </row>
    <row r="825" spans="1:37" ht="12.75">
      <c r="A825" s="4"/>
      <c r="B825" s="14" t="s">
        <v>591</v>
      </c>
      <c r="C825" s="14" t="s">
        <v>641</v>
      </c>
      <c r="D825" s="104" t="s">
        <v>1016</v>
      </c>
      <c r="E825" s="105"/>
      <c r="F825" s="105"/>
      <c r="G825" s="105"/>
      <c r="H825" s="42">
        <f>SUM(H826:H828)</f>
        <v>0</v>
      </c>
      <c r="I825" s="42">
        <f>SUM(I826:I828)</f>
        <v>0</v>
      </c>
      <c r="J825" s="42">
        <f>H825+I825</f>
        <v>0</v>
      </c>
      <c r="K825" s="31"/>
      <c r="L825" s="42">
        <f>SUM(L826:L828)</f>
        <v>0.062675</v>
      </c>
      <c r="M825" s="31"/>
      <c r="P825" s="42">
        <f>IF(Q825="PR",J825,SUM(O826:O828))</f>
        <v>0</v>
      </c>
      <c r="Q825" s="31" t="s">
        <v>1530</v>
      </c>
      <c r="R825" s="42">
        <f>IF(Q825="HS",H825,0)</f>
        <v>0</v>
      </c>
      <c r="S825" s="42">
        <f>IF(Q825="HS",I825-P825,0)</f>
        <v>0</v>
      </c>
      <c r="T825" s="42">
        <f>IF(Q825="PS",H825,0)</f>
        <v>0</v>
      </c>
      <c r="U825" s="42">
        <f>IF(Q825="PS",I825-P825,0)</f>
        <v>0</v>
      </c>
      <c r="V825" s="42">
        <f>IF(Q825="MP",H825,0)</f>
        <v>0</v>
      </c>
      <c r="W825" s="42">
        <f>IF(Q825="MP",I825-P825,0)</f>
        <v>0</v>
      </c>
      <c r="X825" s="42">
        <f>IF(Q825="OM",H825,0)</f>
        <v>0</v>
      </c>
      <c r="Y825" s="31" t="s">
        <v>591</v>
      </c>
      <c r="AI825" s="42">
        <f>SUM(Z826:Z828)</f>
        <v>0</v>
      </c>
      <c r="AJ825" s="42">
        <f>SUM(AA826:AA828)</f>
        <v>0</v>
      </c>
      <c r="AK825" s="42">
        <f>SUM(AB826:AB828)</f>
        <v>0</v>
      </c>
    </row>
    <row r="826" spans="1:43" ht="12.75">
      <c r="A826" s="5" t="s">
        <v>492</v>
      </c>
      <c r="B826" s="5" t="s">
        <v>591</v>
      </c>
      <c r="C826" s="5" t="s">
        <v>642</v>
      </c>
      <c r="D826" s="5" t="s">
        <v>1017</v>
      </c>
      <c r="E826" s="5" t="s">
        <v>1493</v>
      </c>
      <c r="F826" s="22">
        <v>136.25</v>
      </c>
      <c r="G826" s="22">
        <v>0</v>
      </c>
      <c r="H826" s="22">
        <f>F826*AE826</f>
        <v>0</v>
      </c>
      <c r="I826" s="22">
        <f>J826-H826</f>
        <v>0</v>
      </c>
      <c r="J826" s="22">
        <f>F826*G826</f>
        <v>0</v>
      </c>
      <c r="K826" s="22">
        <v>0.00039</v>
      </c>
      <c r="L826" s="22">
        <f>F826*K826</f>
        <v>0.0531375</v>
      </c>
      <c r="M826" s="35" t="s">
        <v>1523</v>
      </c>
      <c r="N826" s="35" t="s">
        <v>7</v>
      </c>
      <c r="O826" s="22">
        <f>IF(N826="5",I826,0)</f>
        <v>0</v>
      </c>
      <c r="Z826" s="22">
        <f>IF(AD826=0,J826,0)</f>
        <v>0</v>
      </c>
      <c r="AA826" s="22">
        <f>IF(AD826=15,J826,0)</f>
        <v>0</v>
      </c>
      <c r="AB826" s="22">
        <f>IF(AD826=21,J826,0)</f>
        <v>0</v>
      </c>
      <c r="AD826" s="39">
        <v>15</v>
      </c>
      <c r="AE826" s="39">
        <f>G826*0.253731343283582</f>
        <v>0</v>
      </c>
      <c r="AF826" s="39">
        <f>G826*(1-0.253731343283582)</f>
        <v>0</v>
      </c>
      <c r="AM826" s="39">
        <f>F826*AE826</f>
        <v>0</v>
      </c>
      <c r="AN826" s="39">
        <f>F826*AF826</f>
        <v>0</v>
      </c>
      <c r="AO826" s="40" t="s">
        <v>1549</v>
      </c>
      <c r="AP826" s="40" t="s">
        <v>1601</v>
      </c>
      <c r="AQ826" s="31" t="s">
        <v>1610</v>
      </c>
    </row>
    <row r="827" ht="12.75">
      <c r="D827" s="18" t="s">
        <v>1249</v>
      </c>
    </row>
    <row r="828" spans="1:43" ht="12.75">
      <c r="A828" s="5" t="s">
        <v>493</v>
      </c>
      <c r="B828" s="5" t="s">
        <v>591</v>
      </c>
      <c r="C828" s="5" t="s">
        <v>643</v>
      </c>
      <c r="D828" s="5" t="s">
        <v>1322</v>
      </c>
      <c r="E828" s="5" t="s">
        <v>1493</v>
      </c>
      <c r="F828" s="22">
        <v>136.25</v>
      </c>
      <c r="G828" s="22">
        <v>0</v>
      </c>
      <c r="H828" s="22">
        <f>F828*AE828</f>
        <v>0</v>
      </c>
      <c r="I828" s="22">
        <f>J828-H828</f>
        <v>0</v>
      </c>
      <c r="J828" s="22">
        <f>F828*G828</f>
        <v>0</v>
      </c>
      <c r="K828" s="22">
        <v>7E-05</v>
      </c>
      <c r="L828" s="22">
        <f>F828*K828</f>
        <v>0.009537499999999999</v>
      </c>
      <c r="M828" s="35" t="s">
        <v>1523</v>
      </c>
      <c r="N828" s="35" t="s">
        <v>7</v>
      </c>
      <c r="O828" s="22">
        <f>IF(N828="5",I828,0)</f>
        <v>0</v>
      </c>
      <c r="Z828" s="22">
        <f>IF(AD828=0,J828,0)</f>
        <v>0</v>
      </c>
      <c r="AA828" s="22">
        <f>IF(AD828=15,J828,0)</f>
        <v>0</v>
      </c>
      <c r="AB828" s="22">
        <f>IF(AD828=21,J828,0)</f>
        <v>0</v>
      </c>
      <c r="AD828" s="39">
        <v>15</v>
      </c>
      <c r="AE828" s="39">
        <f>G828*0.296066252587992</f>
        <v>0</v>
      </c>
      <c r="AF828" s="39">
        <f>G828*(1-0.296066252587992)</f>
        <v>0</v>
      </c>
      <c r="AM828" s="39">
        <f>F828*AE828</f>
        <v>0</v>
      </c>
      <c r="AN828" s="39">
        <f>F828*AF828</f>
        <v>0</v>
      </c>
      <c r="AO828" s="40" t="s">
        <v>1549</v>
      </c>
      <c r="AP828" s="40" t="s">
        <v>1601</v>
      </c>
      <c r="AQ828" s="31" t="s">
        <v>1610</v>
      </c>
    </row>
    <row r="829" spans="1:37" ht="12.75">
      <c r="A829" s="4"/>
      <c r="B829" s="14" t="s">
        <v>591</v>
      </c>
      <c r="C829" s="14" t="s">
        <v>102</v>
      </c>
      <c r="D829" s="104" t="s">
        <v>1254</v>
      </c>
      <c r="E829" s="105"/>
      <c r="F829" s="105"/>
      <c r="G829" s="105"/>
      <c r="H829" s="42">
        <f>SUM(H830:H830)</f>
        <v>0</v>
      </c>
      <c r="I829" s="42">
        <f>SUM(I830:I830)</f>
        <v>0</v>
      </c>
      <c r="J829" s="42">
        <f>H829+I829</f>
        <v>0</v>
      </c>
      <c r="K829" s="31"/>
      <c r="L829" s="42">
        <f>SUM(L830:L830)</f>
        <v>16.14186</v>
      </c>
      <c r="M829" s="31"/>
      <c r="P829" s="42">
        <f>IF(Q829="PR",J829,SUM(O830:O830))</f>
        <v>0</v>
      </c>
      <c r="Q829" s="31" t="s">
        <v>1529</v>
      </c>
      <c r="R829" s="42">
        <f>IF(Q829="HS",H829,0)</f>
        <v>0</v>
      </c>
      <c r="S829" s="42">
        <f>IF(Q829="HS",I829-P829,0)</f>
        <v>0</v>
      </c>
      <c r="T829" s="42">
        <f>IF(Q829="PS",H829,0)</f>
        <v>0</v>
      </c>
      <c r="U829" s="42">
        <f>IF(Q829="PS",I829-P829,0)</f>
        <v>0</v>
      </c>
      <c r="V829" s="42">
        <f>IF(Q829="MP",H829,0)</f>
        <v>0</v>
      </c>
      <c r="W829" s="42">
        <f>IF(Q829="MP",I829-P829,0)</f>
        <v>0</v>
      </c>
      <c r="X829" s="42">
        <f>IF(Q829="OM",H829,0)</f>
        <v>0</v>
      </c>
      <c r="Y829" s="31" t="s">
        <v>591</v>
      </c>
      <c r="AI829" s="42">
        <f>SUM(Z830:Z830)</f>
        <v>0</v>
      </c>
      <c r="AJ829" s="42">
        <f>SUM(AA830:AA830)</f>
        <v>0</v>
      </c>
      <c r="AK829" s="42">
        <f>SUM(AB830:AB830)</f>
        <v>0</v>
      </c>
    </row>
    <row r="830" spans="1:43" ht="12.75">
      <c r="A830" s="5" t="s">
        <v>494</v>
      </c>
      <c r="B830" s="5" t="s">
        <v>591</v>
      </c>
      <c r="C830" s="5" t="s">
        <v>865</v>
      </c>
      <c r="D830" s="5" t="s">
        <v>1343</v>
      </c>
      <c r="E830" s="5" t="s">
        <v>1502</v>
      </c>
      <c r="F830" s="22">
        <v>9.66</v>
      </c>
      <c r="G830" s="22">
        <v>0</v>
      </c>
      <c r="H830" s="22">
        <f>F830*AE830</f>
        <v>0</v>
      </c>
      <c r="I830" s="22">
        <f>J830-H830</f>
        <v>0</v>
      </c>
      <c r="J830" s="22">
        <f>F830*G830</f>
        <v>0</v>
      </c>
      <c r="K830" s="22">
        <v>1.671</v>
      </c>
      <c r="L830" s="22">
        <f>F830*K830</f>
        <v>16.14186</v>
      </c>
      <c r="M830" s="35" t="s">
        <v>1523</v>
      </c>
      <c r="N830" s="35" t="s">
        <v>7</v>
      </c>
      <c r="O830" s="22">
        <f>IF(N830="5",I830,0)</f>
        <v>0</v>
      </c>
      <c r="Z830" s="22">
        <f>IF(AD830=0,J830,0)</f>
        <v>0</v>
      </c>
      <c r="AA830" s="22">
        <f>IF(AD830=15,J830,0)</f>
        <v>0</v>
      </c>
      <c r="AB830" s="22">
        <f>IF(AD830=21,J830,0)</f>
        <v>0</v>
      </c>
      <c r="AD830" s="39">
        <v>15</v>
      </c>
      <c r="AE830" s="39">
        <f>G830*0</f>
        <v>0</v>
      </c>
      <c r="AF830" s="39">
        <f>G830*(1-0)</f>
        <v>0</v>
      </c>
      <c r="AM830" s="39">
        <f>F830*AE830</f>
        <v>0</v>
      </c>
      <c r="AN830" s="39">
        <f>F830*AF830</f>
        <v>0</v>
      </c>
      <c r="AO830" s="40" t="s">
        <v>1573</v>
      </c>
      <c r="AP830" s="40" t="s">
        <v>1602</v>
      </c>
      <c r="AQ830" s="31" t="s">
        <v>1610</v>
      </c>
    </row>
    <row r="831" spans="1:37" ht="12.75">
      <c r="A831" s="4"/>
      <c r="B831" s="14" t="s">
        <v>591</v>
      </c>
      <c r="C831" s="14" t="s">
        <v>647</v>
      </c>
      <c r="D831" s="104" t="s">
        <v>1029</v>
      </c>
      <c r="E831" s="105"/>
      <c r="F831" s="105"/>
      <c r="G831" s="105"/>
      <c r="H831" s="42">
        <f>SUM(H832:H832)</f>
        <v>0</v>
      </c>
      <c r="I831" s="42">
        <f>SUM(I832:I832)</f>
        <v>0</v>
      </c>
      <c r="J831" s="42">
        <f>H831+I831</f>
        <v>0</v>
      </c>
      <c r="K831" s="31"/>
      <c r="L831" s="42">
        <f>SUM(L832:L832)</f>
        <v>0</v>
      </c>
      <c r="M831" s="31"/>
      <c r="P831" s="42">
        <f>IF(Q831="PR",J831,SUM(O832:O832))</f>
        <v>0</v>
      </c>
      <c r="Q831" s="31" t="s">
        <v>1529</v>
      </c>
      <c r="R831" s="42">
        <f>IF(Q831="HS",H831,0)</f>
        <v>0</v>
      </c>
      <c r="S831" s="42">
        <f>IF(Q831="HS",I831-P831,0)</f>
        <v>0</v>
      </c>
      <c r="T831" s="42">
        <f>IF(Q831="PS",H831,0)</f>
        <v>0</v>
      </c>
      <c r="U831" s="42">
        <f>IF(Q831="PS",I831-P831,0)</f>
        <v>0</v>
      </c>
      <c r="V831" s="42">
        <f>IF(Q831="MP",H831,0)</f>
        <v>0</v>
      </c>
      <c r="W831" s="42">
        <f>IF(Q831="MP",I831-P831,0)</f>
        <v>0</v>
      </c>
      <c r="X831" s="42">
        <f>IF(Q831="OM",H831,0)</f>
        <v>0</v>
      </c>
      <c r="Y831" s="31" t="s">
        <v>591</v>
      </c>
      <c r="AI831" s="42">
        <f>SUM(Z832:Z832)</f>
        <v>0</v>
      </c>
      <c r="AJ831" s="42">
        <f>SUM(AA832:AA832)</f>
        <v>0</v>
      </c>
      <c r="AK831" s="42">
        <f>SUM(AB832:AB832)</f>
        <v>0</v>
      </c>
    </row>
    <row r="832" spans="1:43" ht="12.75">
      <c r="A832" s="5" t="s">
        <v>495</v>
      </c>
      <c r="B832" s="5" t="s">
        <v>591</v>
      </c>
      <c r="C832" s="5" t="s">
        <v>810</v>
      </c>
      <c r="D832" s="5" t="s">
        <v>1273</v>
      </c>
      <c r="E832" s="5" t="s">
        <v>1498</v>
      </c>
      <c r="F832" s="22">
        <v>1.36</v>
      </c>
      <c r="G832" s="22">
        <v>0</v>
      </c>
      <c r="H832" s="22">
        <f>F832*AE832</f>
        <v>0</v>
      </c>
      <c r="I832" s="22">
        <f>J832-H832</f>
        <v>0</v>
      </c>
      <c r="J832" s="22">
        <f>F832*G832</f>
        <v>0</v>
      </c>
      <c r="K832" s="22">
        <v>0</v>
      </c>
      <c r="L832" s="22">
        <f>F832*K832</f>
        <v>0</v>
      </c>
      <c r="M832" s="35" t="s">
        <v>1523</v>
      </c>
      <c r="N832" s="35" t="s">
        <v>11</v>
      </c>
      <c r="O832" s="22">
        <f>IF(N832="5",I832,0)</f>
        <v>0</v>
      </c>
      <c r="Z832" s="22">
        <f>IF(AD832=0,J832,0)</f>
        <v>0</v>
      </c>
      <c r="AA832" s="22">
        <f>IF(AD832=15,J832,0)</f>
        <v>0</v>
      </c>
      <c r="AB832" s="22">
        <f>IF(AD832=21,J832,0)</f>
        <v>0</v>
      </c>
      <c r="AD832" s="39">
        <v>15</v>
      </c>
      <c r="AE832" s="39">
        <f>G832*0</f>
        <v>0</v>
      </c>
      <c r="AF832" s="39">
        <f>G832*(1-0)</f>
        <v>0</v>
      </c>
      <c r="AM832" s="39">
        <f>F832*AE832</f>
        <v>0</v>
      </c>
      <c r="AN832" s="39">
        <f>F832*AF832</f>
        <v>0</v>
      </c>
      <c r="AO832" s="40" t="s">
        <v>1553</v>
      </c>
      <c r="AP832" s="40" t="s">
        <v>1602</v>
      </c>
      <c r="AQ832" s="31" t="s">
        <v>1610</v>
      </c>
    </row>
    <row r="833" spans="1:37" ht="12.75">
      <c r="A833" s="4"/>
      <c r="B833" s="14" t="s">
        <v>591</v>
      </c>
      <c r="C833" s="14" t="s">
        <v>817</v>
      </c>
      <c r="D833" s="104" t="s">
        <v>1103</v>
      </c>
      <c r="E833" s="105"/>
      <c r="F833" s="105"/>
      <c r="G833" s="105"/>
      <c r="H833" s="42">
        <f>SUM(H834:H834)</f>
        <v>0</v>
      </c>
      <c r="I833" s="42">
        <f>SUM(I834:I834)</f>
        <v>0</v>
      </c>
      <c r="J833" s="42">
        <f>H833+I833</f>
        <v>0</v>
      </c>
      <c r="K833" s="31"/>
      <c r="L833" s="42">
        <f>SUM(L834:L834)</f>
        <v>0</v>
      </c>
      <c r="M833" s="31"/>
      <c r="P833" s="42">
        <f>IF(Q833="PR",J833,SUM(O834:O834))</f>
        <v>0</v>
      </c>
      <c r="Q833" s="31" t="s">
        <v>1529</v>
      </c>
      <c r="R833" s="42">
        <f>IF(Q833="HS",H833,0)</f>
        <v>0</v>
      </c>
      <c r="S833" s="42">
        <f>IF(Q833="HS",I833-P833,0)</f>
        <v>0</v>
      </c>
      <c r="T833" s="42">
        <f>IF(Q833="PS",H833,0)</f>
        <v>0</v>
      </c>
      <c r="U833" s="42">
        <f>IF(Q833="PS",I833-P833,0)</f>
        <v>0</v>
      </c>
      <c r="V833" s="42">
        <f>IF(Q833="MP",H833,0)</f>
        <v>0</v>
      </c>
      <c r="W833" s="42">
        <f>IF(Q833="MP",I833-P833,0)</f>
        <v>0</v>
      </c>
      <c r="X833" s="42">
        <f>IF(Q833="OM",H833,0)</f>
        <v>0</v>
      </c>
      <c r="Y833" s="31" t="s">
        <v>591</v>
      </c>
      <c r="AI833" s="42">
        <f>SUM(Z834:Z834)</f>
        <v>0</v>
      </c>
      <c r="AJ833" s="42">
        <f>SUM(AA834:AA834)</f>
        <v>0</v>
      </c>
      <c r="AK833" s="42">
        <f>SUM(AB834:AB834)</f>
        <v>0</v>
      </c>
    </row>
    <row r="834" spans="1:43" ht="12.75">
      <c r="A834" s="5" t="s">
        <v>496</v>
      </c>
      <c r="B834" s="5" t="s">
        <v>591</v>
      </c>
      <c r="C834" s="5" t="s">
        <v>818</v>
      </c>
      <c r="D834" s="5" t="s">
        <v>1278</v>
      </c>
      <c r="E834" s="5" t="s">
        <v>1499</v>
      </c>
      <c r="F834" s="22">
        <v>1</v>
      </c>
      <c r="G834" s="22">
        <v>0</v>
      </c>
      <c r="H834" s="22">
        <f>F834*AE834</f>
        <v>0</v>
      </c>
      <c r="I834" s="22">
        <f>J834-H834</f>
        <v>0</v>
      </c>
      <c r="J834" s="22">
        <f>F834*G834</f>
        <v>0</v>
      </c>
      <c r="K834" s="22">
        <v>0</v>
      </c>
      <c r="L834" s="22">
        <f>F834*K834</f>
        <v>0</v>
      </c>
      <c r="M834" s="35" t="s">
        <v>1523</v>
      </c>
      <c r="N834" s="35" t="s">
        <v>11</v>
      </c>
      <c r="O834" s="22">
        <f>IF(N834="5",I834,0)</f>
        <v>0</v>
      </c>
      <c r="Z834" s="22">
        <f>IF(AD834=0,J834,0)</f>
        <v>0</v>
      </c>
      <c r="AA834" s="22">
        <f>IF(AD834=15,J834,0)</f>
        <v>0</v>
      </c>
      <c r="AB834" s="22">
        <f>IF(AD834=21,J834,0)</f>
        <v>0</v>
      </c>
      <c r="AD834" s="39">
        <v>15</v>
      </c>
      <c r="AE834" s="39">
        <f>G834*0</f>
        <v>0</v>
      </c>
      <c r="AF834" s="39">
        <f>G834*(1-0)</f>
        <v>0</v>
      </c>
      <c r="AM834" s="39">
        <f>F834*AE834</f>
        <v>0</v>
      </c>
      <c r="AN834" s="39">
        <f>F834*AF834</f>
        <v>0</v>
      </c>
      <c r="AO834" s="40" t="s">
        <v>1578</v>
      </c>
      <c r="AP834" s="40" t="s">
        <v>1602</v>
      </c>
      <c r="AQ834" s="31" t="s">
        <v>1610</v>
      </c>
    </row>
    <row r="835" spans="1:37" ht="12.75">
      <c r="A835" s="4"/>
      <c r="B835" s="14" t="s">
        <v>591</v>
      </c>
      <c r="C835" s="14" t="s">
        <v>819</v>
      </c>
      <c r="D835" s="104" t="s">
        <v>1116</v>
      </c>
      <c r="E835" s="105"/>
      <c r="F835" s="105"/>
      <c r="G835" s="105"/>
      <c r="H835" s="42">
        <f>SUM(H836:H836)</f>
        <v>0</v>
      </c>
      <c r="I835" s="42">
        <f>SUM(I836:I836)</f>
        <v>0</v>
      </c>
      <c r="J835" s="42">
        <f>H835+I835</f>
        <v>0</v>
      </c>
      <c r="K835" s="31"/>
      <c r="L835" s="42">
        <f>SUM(L836:L836)</f>
        <v>0</v>
      </c>
      <c r="M835" s="31"/>
      <c r="P835" s="42">
        <f>IF(Q835="PR",J835,SUM(O836:O836))</f>
        <v>0</v>
      </c>
      <c r="Q835" s="31" t="s">
        <v>1529</v>
      </c>
      <c r="R835" s="42">
        <f>IF(Q835="HS",H835,0)</f>
        <v>0</v>
      </c>
      <c r="S835" s="42">
        <f>IF(Q835="HS",I835-P835,0)</f>
        <v>0</v>
      </c>
      <c r="T835" s="42">
        <f>IF(Q835="PS",H835,0)</f>
        <v>0</v>
      </c>
      <c r="U835" s="42">
        <f>IF(Q835="PS",I835-P835,0)</f>
        <v>0</v>
      </c>
      <c r="V835" s="42">
        <f>IF(Q835="MP",H835,0)</f>
        <v>0</v>
      </c>
      <c r="W835" s="42">
        <f>IF(Q835="MP",I835-P835,0)</f>
        <v>0</v>
      </c>
      <c r="X835" s="42">
        <f>IF(Q835="OM",H835,0)</f>
        <v>0</v>
      </c>
      <c r="Y835" s="31" t="s">
        <v>591</v>
      </c>
      <c r="AI835" s="42">
        <f>SUM(Z836:Z836)</f>
        <v>0</v>
      </c>
      <c r="AJ835" s="42">
        <f>SUM(AA836:AA836)</f>
        <v>0</v>
      </c>
      <c r="AK835" s="42">
        <f>SUM(AB836:AB836)</f>
        <v>0</v>
      </c>
    </row>
    <row r="836" spans="1:43" ht="12.75">
      <c r="A836" s="5" t="s">
        <v>497</v>
      </c>
      <c r="B836" s="5" t="s">
        <v>591</v>
      </c>
      <c r="C836" s="5" t="s">
        <v>820</v>
      </c>
      <c r="D836" s="5" t="s">
        <v>1279</v>
      </c>
      <c r="E836" s="5" t="s">
        <v>1499</v>
      </c>
      <c r="F836" s="22">
        <v>1</v>
      </c>
      <c r="G836" s="22">
        <v>0</v>
      </c>
      <c r="H836" s="22">
        <f>F836*AE836</f>
        <v>0</v>
      </c>
      <c r="I836" s="22">
        <f>J836-H836</f>
        <v>0</v>
      </c>
      <c r="J836" s="22">
        <f>F836*G836</f>
        <v>0</v>
      </c>
      <c r="K836" s="22">
        <v>0</v>
      </c>
      <c r="L836" s="22">
        <f>F836*K836</f>
        <v>0</v>
      </c>
      <c r="M836" s="35" t="s">
        <v>1523</v>
      </c>
      <c r="N836" s="35" t="s">
        <v>11</v>
      </c>
      <c r="O836" s="22">
        <f>IF(N836="5",I836,0)</f>
        <v>0</v>
      </c>
      <c r="Z836" s="22">
        <f>IF(AD836=0,J836,0)</f>
        <v>0</v>
      </c>
      <c r="AA836" s="22">
        <f>IF(AD836=15,J836,0)</f>
        <v>0</v>
      </c>
      <c r="AB836" s="22">
        <f>IF(AD836=21,J836,0)</f>
        <v>0</v>
      </c>
      <c r="AD836" s="39">
        <v>15</v>
      </c>
      <c r="AE836" s="39">
        <f>G836*0</f>
        <v>0</v>
      </c>
      <c r="AF836" s="39">
        <f>G836*(1-0)</f>
        <v>0</v>
      </c>
      <c r="AM836" s="39">
        <f>F836*AE836</f>
        <v>0</v>
      </c>
      <c r="AN836" s="39">
        <f>F836*AF836</f>
        <v>0</v>
      </c>
      <c r="AO836" s="40" t="s">
        <v>1579</v>
      </c>
      <c r="AP836" s="40" t="s">
        <v>1602</v>
      </c>
      <c r="AQ836" s="31" t="s">
        <v>1610</v>
      </c>
    </row>
    <row r="837" spans="1:37" ht="12.75">
      <c r="A837" s="4"/>
      <c r="B837" s="14" t="s">
        <v>591</v>
      </c>
      <c r="C837" s="14" t="s">
        <v>831</v>
      </c>
      <c r="D837" s="104" t="s">
        <v>1211</v>
      </c>
      <c r="E837" s="105"/>
      <c r="F837" s="105"/>
      <c r="G837" s="105"/>
      <c r="H837" s="42">
        <f>SUM(H838:H838)</f>
        <v>0</v>
      </c>
      <c r="I837" s="42">
        <f>SUM(I838:I838)</f>
        <v>0</v>
      </c>
      <c r="J837" s="42">
        <f>H837+I837</f>
        <v>0</v>
      </c>
      <c r="K837" s="31"/>
      <c r="L837" s="42">
        <f>SUM(L838:L838)</f>
        <v>0</v>
      </c>
      <c r="M837" s="31"/>
      <c r="P837" s="42">
        <f>IF(Q837="PR",J837,SUM(O838:O838))</f>
        <v>0</v>
      </c>
      <c r="Q837" s="31" t="s">
        <v>1529</v>
      </c>
      <c r="R837" s="42">
        <f>IF(Q837="HS",H837,0)</f>
        <v>0</v>
      </c>
      <c r="S837" s="42">
        <f>IF(Q837="HS",I837-P837,0)</f>
        <v>0</v>
      </c>
      <c r="T837" s="42">
        <f>IF(Q837="PS",H837,0)</f>
        <v>0</v>
      </c>
      <c r="U837" s="42">
        <f>IF(Q837="PS",I837-P837,0)</f>
        <v>0</v>
      </c>
      <c r="V837" s="42">
        <f>IF(Q837="MP",H837,0)</f>
        <v>0</v>
      </c>
      <c r="W837" s="42">
        <f>IF(Q837="MP",I837-P837,0)</f>
        <v>0</v>
      </c>
      <c r="X837" s="42">
        <f>IF(Q837="OM",H837,0)</f>
        <v>0</v>
      </c>
      <c r="Y837" s="31" t="s">
        <v>591</v>
      </c>
      <c r="AI837" s="42">
        <f>SUM(Z838:Z838)</f>
        <v>0</v>
      </c>
      <c r="AJ837" s="42">
        <f>SUM(AA838:AA838)</f>
        <v>0</v>
      </c>
      <c r="AK837" s="42">
        <f>SUM(AB838:AB838)</f>
        <v>0</v>
      </c>
    </row>
    <row r="838" spans="1:43" ht="12.75">
      <c r="A838" s="5" t="s">
        <v>498</v>
      </c>
      <c r="B838" s="5" t="s">
        <v>591</v>
      </c>
      <c r="C838" s="5" t="s">
        <v>832</v>
      </c>
      <c r="D838" s="5" t="s">
        <v>1286</v>
      </c>
      <c r="E838" s="5" t="s">
        <v>1499</v>
      </c>
      <c r="F838" s="22">
        <v>1</v>
      </c>
      <c r="G838" s="22">
        <v>0</v>
      </c>
      <c r="H838" s="22">
        <f>F838*AE838</f>
        <v>0</v>
      </c>
      <c r="I838" s="22">
        <f>J838-H838</f>
        <v>0</v>
      </c>
      <c r="J838" s="22">
        <f>F838*G838</f>
        <v>0</v>
      </c>
      <c r="K838" s="22">
        <v>0</v>
      </c>
      <c r="L838" s="22">
        <f>F838*K838</f>
        <v>0</v>
      </c>
      <c r="M838" s="35" t="s">
        <v>1523</v>
      </c>
      <c r="N838" s="35" t="s">
        <v>11</v>
      </c>
      <c r="O838" s="22">
        <f>IF(N838="5",I838,0)</f>
        <v>0</v>
      </c>
      <c r="Z838" s="22">
        <f>IF(AD838=0,J838,0)</f>
        <v>0</v>
      </c>
      <c r="AA838" s="22">
        <f>IF(AD838=15,J838,0)</f>
        <v>0</v>
      </c>
      <c r="AB838" s="22">
        <f>IF(AD838=21,J838,0)</f>
        <v>0</v>
      </c>
      <c r="AD838" s="39">
        <v>15</v>
      </c>
      <c r="AE838" s="39">
        <f>G838*0</f>
        <v>0</v>
      </c>
      <c r="AF838" s="39">
        <f>G838*(1-0)</f>
        <v>0</v>
      </c>
      <c r="AM838" s="39">
        <f>F838*AE838</f>
        <v>0</v>
      </c>
      <c r="AN838" s="39">
        <f>F838*AF838</f>
        <v>0</v>
      </c>
      <c r="AO838" s="40" t="s">
        <v>1584</v>
      </c>
      <c r="AP838" s="40" t="s">
        <v>1602</v>
      </c>
      <c r="AQ838" s="31" t="s">
        <v>1610</v>
      </c>
    </row>
    <row r="839" spans="1:37" ht="12.75">
      <c r="A839" s="4"/>
      <c r="B839" s="14" t="s">
        <v>591</v>
      </c>
      <c r="C839" s="14" t="s">
        <v>659</v>
      </c>
      <c r="D839" s="104" t="s">
        <v>1036</v>
      </c>
      <c r="E839" s="105"/>
      <c r="F839" s="105"/>
      <c r="G839" s="105"/>
      <c r="H839" s="42">
        <f>SUM(H840:H844)</f>
        <v>0</v>
      </c>
      <c r="I839" s="42">
        <f>SUM(I840:I844)</f>
        <v>0</v>
      </c>
      <c r="J839" s="42">
        <f>H839+I839</f>
        <v>0</v>
      </c>
      <c r="K839" s="31"/>
      <c r="L839" s="42">
        <f>SUM(L840:L844)</f>
        <v>0.00786</v>
      </c>
      <c r="M839" s="31"/>
      <c r="P839" s="42">
        <f>IF(Q839="PR",J839,SUM(O840:O844))</f>
        <v>0</v>
      </c>
      <c r="Q839" s="31" t="s">
        <v>1531</v>
      </c>
      <c r="R839" s="42">
        <f>IF(Q839="HS",H839,0)</f>
        <v>0</v>
      </c>
      <c r="S839" s="42">
        <f>IF(Q839="HS",I839-P839,0)</f>
        <v>0</v>
      </c>
      <c r="T839" s="42">
        <f>IF(Q839="PS",H839,0)</f>
        <v>0</v>
      </c>
      <c r="U839" s="42">
        <f>IF(Q839="PS",I839-P839,0)</f>
        <v>0</v>
      </c>
      <c r="V839" s="42">
        <f>IF(Q839="MP",H839,0)</f>
        <v>0</v>
      </c>
      <c r="W839" s="42">
        <f>IF(Q839="MP",I839-P839,0)</f>
        <v>0</v>
      </c>
      <c r="X839" s="42">
        <f>IF(Q839="OM",H839,0)</f>
        <v>0</v>
      </c>
      <c r="Y839" s="31" t="s">
        <v>591</v>
      </c>
      <c r="AI839" s="42">
        <f>SUM(Z840:Z844)</f>
        <v>0</v>
      </c>
      <c r="AJ839" s="42">
        <f>SUM(AA840:AA844)</f>
        <v>0</v>
      </c>
      <c r="AK839" s="42">
        <f>SUM(AB840:AB844)</f>
        <v>0</v>
      </c>
    </row>
    <row r="840" spans="1:43" ht="12.75">
      <c r="A840" s="5" t="s">
        <v>499</v>
      </c>
      <c r="B840" s="5" t="s">
        <v>591</v>
      </c>
      <c r="C840" s="5" t="s">
        <v>866</v>
      </c>
      <c r="D840" s="5" t="s">
        <v>1344</v>
      </c>
      <c r="E840" s="5" t="s">
        <v>1494</v>
      </c>
      <c r="F840" s="22">
        <v>1</v>
      </c>
      <c r="G840" s="22">
        <v>0</v>
      </c>
      <c r="H840" s="22">
        <f>F840*AE840</f>
        <v>0</v>
      </c>
      <c r="I840" s="22">
        <f>J840-H840</f>
        <v>0</v>
      </c>
      <c r="J840" s="22">
        <f>F840*G840</f>
        <v>0</v>
      </c>
      <c r="K840" s="22">
        <v>0.00093</v>
      </c>
      <c r="L840" s="22">
        <f>F840*K840</f>
        <v>0.00093</v>
      </c>
      <c r="M840" s="35" t="s">
        <v>1523</v>
      </c>
      <c r="N840" s="35" t="s">
        <v>8</v>
      </c>
      <c r="O840" s="22">
        <f>IF(N840="5",I840,0)</f>
        <v>0</v>
      </c>
      <c r="Z840" s="22">
        <f>IF(AD840=0,J840,0)</f>
        <v>0</v>
      </c>
      <c r="AA840" s="22">
        <f>IF(AD840=15,J840,0)</f>
        <v>0</v>
      </c>
      <c r="AB840" s="22">
        <f>IF(AD840=21,J840,0)</f>
        <v>0</v>
      </c>
      <c r="AD840" s="39">
        <v>15</v>
      </c>
      <c r="AE840" s="39">
        <f>G840*0.570302778929905</f>
        <v>0</v>
      </c>
      <c r="AF840" s="39">
        <f>G840*(1-0.570302778929905)</f>
        <v>0</v>
      </c>
      <c r="AM840" s="39">
        <f>F840*AE840</f>
        <v>0</v>
      </c>
      <c r="AN840" s="39">
        <f>F840*AF840</f>
        <v>0</v>
      </c>
      <c r="AO840" s="40" t="s">
        <v>1559</v>
      </c>
      <c r="AP840" s="40" t="s">
        <v>1602</v>
      </c>
      <c r="AQ840" s="31" t="s">
        <v>1610</v>
      </c>
    </row>
    <row r="841" ht="12.75">
      <c r="D841" s="18" t="s">
        <v>1345</v>
      </c>
    </row>
    <row r="842" spans="1:43" ht="12.75">
      <c r="A842" s="5" t="s">
        <v>500</v>
      </c>
      <c r="B842" s="5" t="s">
        <v>591</v>
      </c>
      <c r="C842" s="5" t="s">
        <v>867</v>
      </c>
      <c r="D842" s="5" t="s">
        <v>1346</v>
      </c>
      <c r="E842" s="5" t="s">
        <v>1494</v>
      </c>
      <c r="F842" s="22">
        <v>1</v>
      </c>
      <c r="G842" s="22">
        <v>0</v>
      </c>
      <c r="H842" s="22">
        <f>F842*AE842</f>
        <v>0</v>
      </c>
      <c r="I842" s="22">
        <f>J842-H842</f>
        <v>0</v>
      </c>
      <c r="J842" s="22">
        <f>F842*G842</f>
        <v>0</v>
      </c>
      <c r="K842" s="22">
        <v>0.00093</v>
      </c>
      <c r="L842" s="22">
        <f>F842*K842</f>
        <v>0.00093</v>
      </c>
      <c r="M842" s="35" t="s">
        <v>1523</v>
      </c>
      <c r="N842" s="35" t="s">
        <v>8</v>
      </c>
      <c r="O842" s="22">
        <f>IF(N842="5",I842,0)</f>
        <v>0</v>
      </c>
      <c r="Z842" s="22">
        <f>IF(AD842=0,J842,0)</f>
        <v>0</v>
      </c>
      <c r="AA842" s="22">
        <f>IF(AD842=15,J842,0)</f>
        <v>0</v>
      </c>
      <c r="AB842" s="22">
        <f>IF(AD842=21,J842,0)</f>
        <v>0</v>
      </c>
      <c r="AD842" s="39">
        <v>15</v>
      </c>
      <c r="AE842" s="39">
        <f>G842*0.653277586979244</f>
        <v>0</v>
      </c>
      <c r="AF842" s="39">
        <f>G842*(1-0.653277586979244)</f>
        <v>0</v>
      </c>
      <c r="AM842" s="39">
        <f>F842*AE842</f>
        <v>0</v>
      </c>
      <c r="AN842" s="39">
        <f>F842*AF842</f>
        <v>0</v>
      </c>
      <c r="AO842" s="40" t="s">
        <v>1559</v>
      </c>
      <c r="AP842" s="40" t="s">
        <v>1602</v>
      </c>
      <c r="AQ842" s="31" t="s">
        <v>1610</v>
      </c>
    </row>
    <row r="843" ht="39">
      <c r="D843" s="18" t="s">
        <v>1347</v>
      </c>
    </row>
    <row r="844" spans="1:43" ht="12.75">
      <c r="A844" s="6" t="s">
        <v>501</v>
      </c>
      <c r="B844" s="6" t="s">
        <v>591</v>
      </c>
      <c r="C844" s="6" t="s">
        <v>868</v>
      </c>
      <c r="D844" s="6" t="s">
        <v>1348</v>
      </c>
      <c r="E844" s="6" t="s">
        <v>1494</v>
      </c>
      <c r="F844" s="24">
        <v>3</v>
      </c>
      <c r="G844" s="24">
        <v>0</v>
      </c>
      <c r="H844" s="24">
        <f>F844*AE844</f>
        <v>0</v>
      </c>
      <c r="I844" s="24">
        <f>J844-H844</f>
        <v>0</v>
      </c>
      <c r="J844" s="24">
        <f>F844*G844</f>
        <v>0</v>
      </c>
      <c r="K844" s="24">
        <v>0.002</v>
      </c>
      <c r="L844" s="24">
        <f>F844*K844</f>
        <v>0.006</v>
      </c>
      <c r="M844" s="36" t="s">
        <v>1523</v>
      </c>
      <c r="N844" s="36" t="s">
        <v>1526</v>
      </c>
      <c r="O844" s="24">
        <f>IF(N844="5",I844,0)</f>
        <v>0</v>
      </c>
      <c r="Z844" s="24">
        <f>IF(AD844=0,J844,0)</f>
        <v>0</v>
      </c>
      <c r="AA844" s="24">
        <f>IF(AD844=15,J844,0)</f>
        <v>0</v>
      </c>
      <c r="AB844" s="24">
        <f>IF(AD844=21,J844,0)</f>
        <v>0</v>
      </c>
      <c r="AD844" s="39">
        <v>15</v>
      </c>
      <c r="AE844" s="39">
        <f>G844*1</f>
        <v>0</v>
      </c>
      <c r="AF844" s="39">
        <f>G844*(1-1)</f>
        <v>0</v>
      </c>
      <c r="AM844" s="39">
        <f>F844*AE844</f>
        <v>0</v>
      </c>
      <c r="AN844" s="39">
        <f>F844*AF844</f>
        <v>0</v>
      </c>
      <c r="AO844" s="40" t="s">
        <v>1559</v>
      </c>
      <c r="AP844" s="40" t="s">
        <v>1602</v>
      </c>
      <c r="AQ844" s="31" t="s">
        <v>1610</v>
      </c>
    </row>
    <row r="845" spans="1:13" ht="12.75">
      <c r="A845" s="7"/>
      <c r="B845" s="15" t="s">
        <v>592</v>
      </c>
      <c r="C845" s="15"/>
      <c r="D845" s="106" t="s">
        <v>1349</v>
      </c>
      <c r="E845" s="107"/>
      <c r="F845" s="107"/>
      <c r="G845" s="107"/>
      <c r="H845" s="43">
        <f>H846+H850+H887+H901+H906+H911+H955+H958+H964+H973+H983+H985+H987+H989+H991+H993</f>
        <v>0</v>
      </c>
      <c r="I845" s="43">
        <f>I846+I850+I887+I901+I906+I911+I955+I958+I964+I973+I983+I985+I987+I989+I991+I993</f>
        <v>0</v>
      </c>
      <c r="J845" s="43">
        <f>H845+I845</f>
        <v>0</v>
      </c>
      <c r="K845" s="32"/>
      <c r="L845" s="43">
        <f>L846+L850+L887+L901+L906+L911+L955+L958+L964+L973+L983+L985+L987+L989+L991+L993</f>
        <v>52.81664738</v>
      </c>
      <c r="M845" s="32"/>
    </row>
    <row r="846" spans="1:37" ht="12.75">
      <c r="A846" s="4"/>
      <c r="B846" s="14" t="s">
        <v>592</v>
      </c>
      <c r="C846" s="14" t="s">
        <v>37</v>
      </c>
      <c r="D846" s="104" t="s">
        <v>1350</v>
      </c>
      <c r="E846" s="105"/>
      <c r="F846" s="105"/>
      <c r="G846" s="105"/>
      <c r="H846" s="42">
        <f>SUM(H847:H847)</f>
        <v>0</v>
      </c>
      <c r="I846" s="42">
        <f>SUM(I847:I847)</f>
        <v>0</v>
      </c>
      <c r="J846" s="42">
        <f>H846+I846</f>
        <v>0</v>
      </c>
      <c r="K846" s="31"/>
      <c r="L846" s="42">
        <f>SUM(L847:L847)</f>
        <v>0.151014</v>
      </c>
      <c r="M846" s="31"/>
      <c r="P846" s="42">
        <f>IF(Q846="PR",J846,SUM(O847:O847))</f>
        <v>0</v>
      </c>
      <c r="Q846" s="31" t="s">
        <v>1529</v>
      </c>
      <c r="R846" s="42">
        <f>IF(Q846="HS",H846,0)</f>
        <v>0</v>
      </c>
      <c r="S846" s="42">
        <f>IF(Q846="HS",I846-P846,0)</f>
        <v>0</v>
      </c>
      <c r="T846" s="42">
        <f>IF(Q846="PS",H846,0)</f>
        <v>0</v>
      </c>
      <c r="U846" s="42">
        <f>IF(Q846="PS",I846-P846,0)</f>
        <v>0</v>
      </c>
      <c r="V846" s="42">
        <f>IF(Q846="MP",H846,0)</f>
        <v>0</v>
      </c>
      <c r="W846" s="42">
        <f>IF(Q846="MP",I846-P846,0)</f>
        <v>0</v>
      </c>
      <c r="X846" s="42">
        <f>IF(Q846="OM",H846,0)</f>
        <v>0</v>
      </c>
      <c r="Y846" s="31" t="s">
        <v>592</v>
      </c>
      <c r="AI846" s="42">
        <f>SUM(Z847:Z847)</f>
        <v>0</v>
      </c>
      <c r="AJ846" s="42">
        <f>SUM(AA847:AA847)</f>
        <v>0</v>
      </c>
      <c r="AK846" s="42">
        <f>SUM(AB847:AB847)</f>
        <v>0</v>
      </c>
    </row>
    <row r="847" spans="1:43" ht="12.75">
      <c r="A847" s="5" t="s">
        <v>502</v>
      </c>
      <c r="B847" s="5" t="s">
        <v>592</v>
      </c>
      <c r="C847" s="5" t="s">
        <v>869</v>
      </c>
      <c r="D847" s="5" t="s">
        <v>1351</v>
      </c>
      <c r="E847" s="5" t="s">
        <v>1502</v>
      </c>
      <c r="F847" s="22">
        <v>0.2</v>
      </c>
      <c r="G847" s="22">
        <v>0</v>
      </c>
      <c r="H847" s="22">
        <f>F847*AE847</f>
        <v>0</v>
      </c>
      <c r="I847" s="22">
        <f>J847-H847</f>
        <v>0</v>
      </c>
      <c r="J847" s="22">
        <f>F847*G847</f>
        <v>0</v>
      </c>
      <c r="K847" s="22">
        <v>0.75507</v>
      </c>
      <c r="L847" s="22">
        <f>F847*K847</f>
        <v>0.151014</v>
      </c>
      <c r="M847" s="35" t="s">
        <v>1523</v>
      </c>
      <c r="N847" s="35" t="s">
        <v>7</v>
      </c>
      <c r="O847" s="22">
        <f>IF(N847="5",I847,0)</f>
        <v>0</v>
      </c>
      <c r="Z847" s="22">
        <f>IF(AD847=0,J847,0)</f>
        <v>0</v>
      </c>
      <c r="AA847" s="22">
        <f>IF(AD847=15,J847,0)</f>
        <v>0</v>
      </c>
      <c r="AB847" s="22">
        <f>IF(AD847=21,J847,0)</f>
        <v>0</v>
      </c>
      <c r="AD847" s="39">
        <v>15</v>
      </c>
      <c r="AE847" s="39">
        <f>G847*0.595982160555005</f>
        <v>0</v>
      </c>
      <c r="AF847" s="39">
        <f>G847*(1-0.595982160555005)</f>
        <v>0</v>
      </c>
      <c r="AM847" s="39">
        <f>F847*AE847</f>
        <v>0</v>
      </c>
      <c r="AN847" s="39">
        <f>F847*AF847</f>
        <v>0</v>
      </c>
      <c r="AO847" s="40" t="s">
        <v>1589</v>
      </c>
      <c r="AP847" s="40" t="s">
        <v>1603</v>
      </c>
      <c r="AQ847" s="31" t="s">
        <v>1611</v>
      </c>
    </row>
    <row r="848" ht="12.75">
      <c r="D848" s="18" t="s">
        <v>1352</v>
      </c>
    </row>
    <row r="849" spans="4:6" ht="10.5" customHeight="1">
      <c r="D849" s="17" t="s">
        <v>1353</v>
      </c>
      <c r="F849" s="23">
        <v>0.2</v>
      </c>
    </row>
    <row r="850" spans="1:37" ht="12.75">
      <c r="A850" s="4"/>
      <c r="B850" s="14" t="s">
        <v>592</v>
      </c>
      <c r="C850" s="14" t="s">
        <v>68</v>
      </c>
      <c r="D850" s="104" t="s">
        <v>1354</v>
      </c>
      <c r="E850" s="105"/>
      <c r="F850" s="105"/>
      <c r="G850" s="105"/>
      <c r="H850" s="42">
        <f>SUM(H851:H885)</f>
        <v>0</v>
      </c>
      <c r="I850" s="42">
        <f>SUM(I851:I885)</f>
        <v>0</v>
      </c>
      <c r="J850" s="42">
        <f>H850+I850</f>
        <v>0</v>
      </c>
      <c r="K850" s="31"/>
      <c r="L850" s="42">
        <f>SUM(L851:L885)</f>
        <v>18.770867099999993</v>
      </c>
      <c r="M850" s="31"/>
      <c r="P850" s="42">
        <f>IF(Q850="PR",J850,SUM(O851:O885))</f>
        <v>0</v>
      </c>
      <c r="Q850" s="31" t="s">
        <v>1529</v>
      </c>
      <c r="R850" s="42">
        <f>IF(Q850="HS",H850,0)</f>
        <v>0</v>
      </c>
      <c r="S850" s="42">
        <f>IF(Q850="HS",I850-P850,0)</f>
        <v>0</v>
      </c>
      <c r="T850" s="42">
        <f>IF(Q850="PS",H850,0)</f>
        <v>0</v>
      </c>
      <c r="U850" s="42">
        <f>IF(Q850="PS",I850-P850,0)</f>
        <v>0</v>
      </c>
      <c r="V850" s="42">
        <f>IF(Q850="MP",H850,0)</f>
        <v>0</v>
      </c>
      <c r="W850" s="42">
        <f>IF(Q850="MP",I850-P850,0)</f>
        <v>0</v>
      </c>
      <c r="X850" s="42">
        <f>IF(Q850="OM",H850,0)</f>
        <v>0</v>
      </c>
      <c r="Y850" s="31" t="s">
        <v>592</v>
      </c>
      <c r="AI850" s="42">
        <f>SUM(Z851:Z885)</f>
        <v>0</v>
      </c>
      <c r="AJ850" s="42">
        <f>SUM(AA851:AA885)</f>
        <v>0</v>
      </c>
      <c r="AK850" s="42">
        <f>SUM(AB851:AB885)</f>
        <v>0</v>
      </c>
    </row>
    <row r="851" spans="1:43" ht="12.75">
      <c r="A851" s="5" t="s">
        <v>503</v>
      </c>
      <c r="B851" s="5" t="s">
        <v>592</v>
      </c>
      <c r="C851" s="5" t="s">
        <v>870</v>
      </c>
      <c r="D851" s="5" t="s">
        <v>1355</v>
      </c>
      <c r="E851" s="5" t="s">
        <v>1493</v>
      </c>
      <c r="F851" s="22">
        <v>53.55</v>
      </c>
      <c r="G851" s="22">
        <v>0</v>
      </c>
      <c r="H851" s="22">
        <f>F851*AE851</f>
        <v>0</v>
      </c>
      <c r="I851" s="22">
        <f>J851-H851</f>
        <v>0</v>
      </c>
      <c r="J851" s="22">
        <f>F851*G851</f>
        <v>0</v>
      </c>
      <c r="K851" s="22">
        <v>0.01325</v>
      </c>
      <c r="L851" s="22">
        <f>F851*K851</f>
        <v>0.7095374999999999</v>
      </c>
      <c r="M851" s="35" t="s">
        <v>1523</v>
      </c>
      <c r="N851" s="35" t="s">
        <v>7</v>
      </c>
      <c r="O851" s="22">
        <f>IF(N851="5",I851,0)</f>
        <v>0</v>
      </c>
      <c r="Z851" s="22">
        <f>IF(AD851=0,J851,0)</f>
        <v>0</v>
      </c>
      <c r="AA851" s="22">
        <f>IF(AD851=15,J851,0)</f>
        <v>0</v>
      </c>
      <c r="AB851" s="22">
        <f>IF(AD851=21,J851,0)</f>
        <v>0</v>
      </c>
      <c r="AD851" s="39">
        <v>15</v>
      </c>
      <c r="AE851" s="39">
        <f>G851*0.707473233404711</f>
        <v>0</v>
      </c>
      <c r="AF851" s="39">
        <f>G851*(1-0.707473233404711)</f>
        <v>0</v>
      </c>
      <c r="AM851" s="39">
        <f>F851*AE851</f>
        <v>0</v>
      </c>
      <c r="AN851" s="39">
        <f>F851*AF851</f>
        <v>0</v>
      </c>
      <c r="AO851" s="40" t="s">
        <v>1590</v>
      </c>
      <c r="AP851" s="40" t="s">
        <v>1596</v>
      </c>
      <c r="AQ851" s="31" t="s">
        <v>1611</v>
      </c>
    </row>
    <row r="852" ht="12.75">
      <c r="D852" s="18" t="s">
        <v>1356</v>
      </c>
    </row>
    <row r="853" spans="4:6" ht="10.5" customHeight="1">
      <c r="D853" s="17" t="s">
        <v>1357</v>
      </c>
      <c r="F853" s="23">
        <v>53.55</v>
      </c>
    </row>
    <row r="854" spans="1:43" ht="12.75">
      <c r="A854" s="5" t="s">
        <v>504</v>
      </c>
      <c r="B854" s="5" t="s">
        <v>592</v>
      </c>
      <c r="C854" s="5" t="s">
        <v>871</v>
      </c>
      <c r="D854" s="5" t="s">
        <v>1358</v>
      </c>
      <c r="E854" s="5" t="s">
        <v>1493</v>
      </c>
      <c r="F854" s="22">
        <v>53.55</v>
      </c>
      <c r="G854" s="22">
        <v>0</v>
      </c>
      <c r="H854" s="22">
        <f>F854*AE854</f>
        <v>0</v>
      </c>
      <c r="I854" s="22">
        <f>J854-H854</f>
        <v>0</v>
      </c>
      <c r="J854" s="22">
        <f>F854*G854</f>
        <v>0</v>
      </c>
      <c r="K854" s="22">
        <v>0.00618</v>
      </c>
      <c r="L854" s="22">
        <f>F854*K854</f>
        <v>0.330939</v>
      </c>
      <c r="M854" s="35" t="s">
        <v>1523</v>
      </c>
      <c r="N854" s="35" t="s">
        <v>7</v>
      </c>
      <c r="O854" s="22">
        <f>IF(N854="5",I854,0)</f>
        <v>0</v>
      </c>
      <c r="Z854" s="22">
        <f>IF(AD854=0,J854,0)</f>
        <v>0</v>
      </c>
      <c r="AA854" s="22">
        <f>IF(AD854=15,J854,0)</f>
        <v>0</v>
      </c>
      <c r="AB854" s="22">
        <f>IF(AD854=21,J854,0)</f>
        <v>0</v>
      </c>
      <c r="AD854" s="39">
        <v>15</v>
      </c>
      <c r="AE854" s="39">
        <f>G854*0.693031358885018</f>
        <v>0</v>
      </c>
      <c r="AF854" s="39">
        <f>G854*(1-0.693031358885018)</f>
        <v>0</v>
      </c>
      <c r="AM854" s="39">
        <f>F854*AE854</f>
        <v>0</v>
      </c>
      <c r="AN854" s="39">
        <f>F854*AF854</f>
        <v>0</v>
      </c>
      <c r="AO854" s="40" t="s">
        <v>1590</v>
      </c>
      <c r="AP854" s="40" t="s">
        <v>1596</v>
      </c>
      <c r="AQ854" s="31" t="s">
        <v>1611</v>
      </c>
    </row>
    <row r="855" spans="4:6" ht="10.5" customHeight="1">
      <c r="D855" s="17" t="s">
        <v>1357</v>
      </c>
      <c r="F855" s="23">
        <v>53.55</v>
      </c>
    </row>
    <row r="856" spans="1:43" ht="12.75">
      <c r="A856" s="5" t="s">
        <v>505</v>
      </c>
      <c r="B856" s="5" t="s">
        <v>592</v>
      </c>
      <c r="C856" s="5" t="s">
        <v>871</v>
      </c>
      <c r="D856" s="5" t="s">
        <v>1358</v>
      </c>
      <c r="E856" s="5" t="s">
        <v>1493</v>
      </c>
      <c r="F856" s="22">
        <v>25</v>
      </c>
      <c r="G856" s="22">
        <v>0</v>
      </c>
      <c r="H856" s="22">
        <f>F856*AE856</f>
        <v>0</v>
      </c>
      <c r="I856" s="22">
        <f>J856-H856</f>
        <v>0</v>
      </c>
      <c r="J856" s="22">
        <f>F856*G856</f>
        <v>0</v>
      </c>
      <c r="K856" s="22">
        <v>0.00618</v>
      </c>
      <c r="L856" s="22">
        <f>F856*K856</f>
        <v>0.1545</v>
      </c>
      <c r="M856" s="35" t="s">
        <v>1523</v>
      </c>
      <c r="N856" s="35" t="s">
        <v>7</v>
      </c>
      <c r="O856" s="22">
        <f>IF(N856="5",I856,0)</f>
        <v>0</v>
      </c>
      <c r="Z856" s="22">
        <f>IF(AD856=0,J856,0)</f>
        <v>0</v>
      </c>
      <c r="AA856" s="22">
        <f>IF(AD856=15,J856,0)</f>
        <v>0</v>
      </c>
      <c r="AB856" s="22">
        <f>IF(AD856=21,J856,0)</f>
        <v>0</v>
      </c>
      <c r="AD856" s="39">
        <v>15</v>
      </c>
      <c r="AE856" s="39">
        <f>G856*0.693031358885018</f>
        <v>0</v>
      </c>
      <c r="AF856" s="39">
        <f>G856*(1-0.693031358885018)</f>
        <v>0</v>
      </c>
      <c r="AM856" s="39">
        <f>F856*AE856</f>
        <v>0</v>
      </c>
      <c r="AN856" s="39">
        <f>F856*AF856</f>
        <v>0</v>
      </c>
      <c r="AO856" s="40" t="s">
        <v>1590</v>
      </c>
      <c r="AP856" s="40" t="s">
        <v>1596</v>
      </c>
      <c r="AQ856" s="31" t="s">
        <v>1611</v>
      </c>
    </row>
    <row r="857" ht="12.75">
      <c r="D857" s="18" t="s">
        <v>1359</v>
      </c>
    </row>
    <row r="858" spans="4:6" ht="10.5" customHeight="1">
      <c r="D858" s="17" t="s">
        <v>1360</v>
      </c>
      <c r="F858" s="23">
        <v>25</v>
      </c>
    </row>
    <row r="859" spans="1:43" ht="12.75">
      <c r="A859" s="5" t="s">
        <v>506</v>
      </c>
      <c r="B859" s="5" t="s">
        <v>592</v>
      </c>
      <c r="C859" s="5" t="s">
        <v>872</v>
      </c>
      <c r="D859" s="5" t="s">
        <v>1361</v>
      </c>
      <c r="E859" s="5" t="s">
        <v>1493</v>
      </c>
      <c r="F859" s="22">
        <v>435.625</v>
      </c>
      <c r="G859" s="22">
        <v>0</v>
      </c>
      <c r="H859" s="22">
        <f>F859*AE859</f>
        <v>0</v>
      </c>
      <c r="I859" s="22">
        <f>J859-H859</f>
        <v>0</v>
      </c>
      <c r="J859" s="22">
        <f>F859*G859</f>
        <v>0</v>
      </c>
      <c r="K859" s="22">
        <v>0.03371</v>
      </c>
      <c r="L859" s="22">
        <f>F859*K859</f>
        <v>14.684918749999998</v>
      </c>
      <c r="M859" s="35" t="s">
        <v>1523</v>
      </c>
      <c r="N859" s="35" t="s">
        <v>7</v>
      </c>
      <c r="O859" s="22">
        <f>IF(N859="5",I859,0)</f>
        <v>0</v>
      </c>
      <c r="Z859" s="22">
        <f>IF(AD859=0,J859,0)</f>
        <v>0</v>
      </c>
      <c r="AA859" s="22">
        <f>IF(AD859=15,J859,0)</f>
        <v>0</v>
      </c>
      <c r="AB859" s="22">
        <f>IF(AD859=21,J859,0)</f>
        <v>0</v>
      </c>
      <c r="AD859" s="39">
        <v>15</v>
      </c>
      <c r="AE859" s="39">
        <f>G859*0.75066974595843</f>
        <v>0</v>
      </c>
      <c r="AF859" s="39">
        <f>G859*(1-0.75066974595843)</f>
        <v>0</v>
      </c>
      <c r="AM859" s="39">
        <f>F859*AE859</f>
        <v>0</v>
      </c>
      <c r="AN859" s="39">
        <f>F859*AF859</f>
        <v>0</v>
      </c>
      <c r="AO859" s="40" t="s">
        <v>1590</v>
      </c>
      <c r="AP859" s="40" t="s">
        <v>1596</v>
      </c>
      <c r="AQ859" s="31" t="s">
        <v>1611</v>
      </c>
    </row>
    <row r="860" ht="12.75">
      <c r="D860" s="18" t="s">
        <v>1356</v>
      </c>
    </row>
    <row r="861" spans="4:6" ht="10.5" customHeight="1">
      <c r="D861" s="17" t="s">
        <v>1362</v>
      </c>
      <c r="F861" s="23">
        <v>556.25</v>
      </c>
    </row>
    <row r="862" spans="4:6" ht="10.5" customHeight="1">
      <c r="D862" s="17" t="s">
        <v>1363</v>
      </c>
      <c r="F862" s="23">
        <v>-59.25</v>
      </c>
    </row>
    <row r="863" spans="4:6" ht="10.5" customHeight="1">
      <c r="D863" s="17" t="s">
        <v>1364</v>
      </c>
      <c r="F863" s="23">
        <v>-7.825</v>
      </c>
    </row>
    <row r="864" spans="4:6" ht="10.5" customHeight="1">
      <c r="D864" s="17" t="s">
        <v>1365</v>
      </c>
      <c r="F864" s="23">
        <v>-53.55</v>
      </c>
    </row>
    <row r="865" spans="1:43" ht="12.75">
      <c r="A865" s="5" t="s">
        <v>507</v>
      </c>
      <c r="B865" s="5" t="s">
        <v>592</v>
      </c>
      <c r="C865" s="5" t="s">
        <v>873</v>
      </c>
      <c r="D865" s="5" t="s">
        <v>1366</v>
      </c>
      <c r="E865" s="5" t="s">
        <v>1493</v>
      </c>
      <c r="F865" s="22">
        <v>33.39</v>
      </c>
      <c r="G865" s="22">
        <v>0</v>
      </c>
      <c r="H865" s="22">
        <f>F865*AE865</f>
        <v>0</v>
      </c>
      <c r="I865" s="22">
        <f>J865-H865</f>
        <v>0</v>
      </c>
      <c r="J865" s="22">
        <f>F865*G865</f>
        <v>0</v>
      </c>
      <c r="K865" s="22">
        <v>0.0148</v>
      </c>
      <c r="L865" s="22">
        <f>F865*K865</f>
        <v>0.49417200000000006</v>
      </c>
      <c r="M865" s="35" t="s">
        <v>1523</v>
      </c>
      <c r="N865" s="35" t="s">
        <v>7</v>
      </c>
      <c r="O865" s="22">
        <f>IF(N865="5",I865,0)</f>
        <v>0</v>
      </c>
      <c r="Z865" s="22">
        <f>IF(AD865=0,J865,0)</f>
        <v>0</v>
      </c>
      <c r="AA865" s="22">
        <f>IF(AD865=15,J865,0)</f>
        <v>0</v>
      </c>
      <c r="AB865" s="22">
        <f>IF(AD865=21,J865,0)</f>
        <v>0</v>
      </c>
      <c r="AD865" s="39">
        <v>15</v>
      </c>
      <c r="AE865" s="39">
        <f>G865*0.351608623548922</f>
        <v>0</v>
      </c>
      <c r="AF865" s="39">
        <f>G865*(1-0.351608623548922)</f>
        <v>0</v>
      </c>
      <c r="AM865" s="39">
        <f>F865*AE865</f>
        <v>0</v>
      </c>
      <c r="AN865" s="39">
        <f>F865*AF865</f>
        <v>0</v>
      </c>
      <c r="AO865" s="40" t="s">
        <v>1590</v>
      </c>
      <c r="AP865" s="40" t="s">
        <v>1596</v>
      </c>
      <c r="AQ865" s="31" t="s">
        <v>1611</v>
      </c>
    </row>
    <row r="866" ht="12.75">
      <c r="D866" s="18" t="s">
        <v>1356</v>
      </c>
    </row>
    <row r="867" spans="4:6" ht="10.5" customHeight="1">
      <c r="D867" s="17" t="s">
        <v>1367</v>
      </c>
      <c r="F867" s="23">
        <v>33.39</v>
      </c>
    </row>
    <row r="868" spans="1:43" ht="12.75">
      <c r="A868" s="5" t="s">
        <v>508</v>
      </c>
      <c r="B868" s="5" t="s">
        <v>592</v>
      </c>
      <c r="C868" s="5" t="s">
        <v>874</v>
      </c>
      <c r="D868" s="5" t="s">
        <v>1368</v>
      </c>
      <c r="E868" s="5" t="s">
        <v>1495</v>
      </c>
      <c r="F868" s="22">
        <v>66.94</v>
      </c>
      <c r="G868" s="22">
        <v>0</v>
      </c>
      <c r="H868" s="22">
        <f>F868*AE868</f>
        <v>0</v>
      </c>
      <c r="I868" s="22">
        <f>J868-H868</f>
        <v>0</v>
      </c>
      <c r="J868" s="22">
        <f>F868*G868</f>
        <v>0</v>
      </c>
      <c r="K868" s="22">
        <v>0.00207</v>
      </c>
      <c r="L868" s="22">
        <f>F868*K868</f>
        <v>0.1385658</v>
      </c>
      <c r="M868" s="35" t="s">
        <v>1523</v>
      </c>
      <c r="N868" s="35" t="s">
        <v>7</v>
      </c>
      <c r="O868" s="22">
        <f>IF(N868="5",I868,0)</f>
        <v>0</v>
      </c>
      <c r="Z868" s="22">
        <f>IF(AD868=0,J868,0)</f>
        <v>0</v>
      </c>
      <c r="AA868" s="22">
        <f>IF(AD868=15,J868,0)</f>
        <v>0</v>
      </c>
      <c r="AB868" s="22">
        <f>IF(AD868=21,J868,0)</f>
        <v>0</v>
      </c>
      <c r="AD868" s="39">
        <v>15</v>
      </c>
      <c r="AE868" s="39">
        <f>G868*0.552312703583062</f>
        <v>0</v>
      </c>
      <c r="AF868" s="39">
        <f>G868*(1-0.552312703583062)</f>
        <v>0</v>
      </c>
      <c r="AM868" s="39">
        <f>F868*AE868</f>
        <v>0</v>
      </c>
      <c r="AN868" s="39">
        <f>F868*AF868</f>
        <v>0</v>
      </c>
      <c r="AO868" s="40" t="s">
        <v>1590</v>
      </c>
      <c r="AP868" s="40" t="s">
        <v>1596</v>
      </c>
      <c r="AQ868" s="31" t="s">
        <v>1611</v>
      </c>
    </row>
    <row r="869" spans="4:6" ht="10.5" customHeight="1">
      <c r="D869" s="17" t="s">
        <v>1369</v>
      </c>
      <c r="F869" s="23">
        <v>66.94</v>
      </c>
    </row>
    <row r="870" spans="1:43" ht="12.75">
      <c r="A870" s="5" t="s">
        <v>509</v>
      </c>
      <c r="B870" s="5" t="s">
        <v>592</v>
      </c>
      <c r="C870" s="5" t="s">
        <v>875</v>
      </c>
      <c r="D870" s="5" t="s">
        <v>1370</v>
      </c>
      <c r="E870" s="5" t="s">
        <v>1493</v>
      </c>
      <c r="F870" s="22">
        <v>12</v>
      </c>
      <c r="G870" s="22">
        <v>0</v>
      </c>
      <c r="H870" s="22">
        <f>F870*AE870</f>
        <v>0</v>
      </c>
      <c r="I870" s="22">
        <f>J870-H870</f>
        <v>0</v>
      </c>
      <c r="J870" s="22">
        <f>F870*G870</f>
        <v>0</v>
      </c>
      <c r="K870" s="22">
        <v>0.04793</v>
      </c>
      <c r="L870" s="22">
        <f>F870*K870</f>
        <v>0.57516</v>
      </c>
      <c r="M870" s="35" t="s">
        <v>1523</v>
      </c>
      <c r="N870" s="35" t="s">
        <v>7</v>
      </c>
      <c r="O870" s="22">
        <f>IF(N870="5",I870,0)</f>
        <v>0</v>
      </c>
      <c r="Z870" s="22">
        <f>IF(AD870=0,J870,0)</f>
        <v>0</v>
      </c>
      <c r="AA870" s="22">
        <f>IF(AD870=15,J870,0)</f>
        <v>0</v>
      </c>
      <c r="AB870" s="22">
        <f>IF(AD870=21,J870,0)</f>
        <v>0</v>
      </c>
      <c r="AD870" s="39">
        <v>15</v>
      </c>
      <c r="AE870" s="39">
        <f>G870*0.287068493150685</f>
        <v>0</v>
      </c>
      <c r="AF870" s="39">
        <f>G870*(1-0.287068493150685)</f>
        <v>0</v>
      </c>
      <c r="AM870" s="39">
        <f>F870*AE870</f>
        <v>0</v>
      </c>
      <c r="AN870" s="39">
        <f>F870*AF870</f>
        <v>0</v>
      </c>
      <c r="AO870" s="40" t="s">
        <v>1590</v>
      </c>
      <c r="AP870" s="40" t="s">
        <v>1596</v>
      </c>
      <c r="AQ870" s="31" t="s">
        <v>1611</v>
      </c>
    </row>
    <row r="871" ht="12.75">
      <c r="D871" s="18" t="s">
        <v>1359</v>
      </c>
    </row>
    <row r="872" spans="1:43" ht="12.75">
      <c r="A872" s="5" t="s">
        <v>510</v>
      </c>
      <c r="B872" s="5" t="s">
        <v>592</v>
      </c>
      <c r="C872" s="5" t="s">
        <v>876</v>
      </c>
      <c r="D872" s="5" t="s">
        <v>1371</v>
      </c>
      <c r="E872" s="5" t="s">
        <v>1493</v>
      </c>
      <c r="F872" s="22">
        <v>522.565</v>
      </c>
      <c r="G872" s="22">
        <v>0</v>
      </c>
      <c r="H872" s="22">
        <f>F872*AE872</f>
        <v>0</v>
      </c>
      <c r="I872" s="22">
        <f>J872-H872</f>
        <v>0</v>
      </c>
      <c r="J872" s="22">
        <f>F872*G872</f>
        <v>0</v>
      </c>
      <c r="K872" s="22">
        <v>2E-05</v>
      </c>
      <c r="L872" s="22">
        <f>F872*K872</f>
        <v>0.010451300000000002</v>
      </c>
      <c r="M872" s="35" t="s">
        <v>1523</v>
      </c>
      <c r="N872" s="35" t="s">
        <v>7</v>
      </c>
      <c r="O872" s="22">
        <f>IF(N872="5",I872,0)</f>
        <v>0</v>
      </c>
      <c r="Z872" s="22">
        <f>IF(AD872=0,J872,0)</f>
        <v>0</v>
      </c>
      <c r="AA872" s="22">
        <f>IF(AD872=15,J872,0)</f>
        <v>0</v>
      </c>
      <c r="AB872" s="22">
        <f>IF(AD872=21,J872,0)</f>
        <v>0</v>
      </c>
      <c r="AD872" s="39">
        <v>15</v>
      </c>
      <c r="AE872" s="39">
        <f>G872*0.0849964780464898</f>
        <v>0</v>
      </c>
      <c r="AF872" s="39">
        <f>G872*(1-0.0849964780464898)</f>
        <v>0</v>
      </c>
      <c r="AM872" s="39">
        <f>F872*AE872</f>
        <v>0</v>
      </c>
      <c r="AN872" s="39">
        <f>F872*AF872</f>
        <v>0</v>
      </c>
      <c r="AO872" s="40" t="s">
        <v>1590</v>
      </c>
      <c r="AP872" s="40" t="s">
        <v>1596</v>
      </c>
      <c r="AQ872" s="31" t="s">
        <v>1611</v>
      </c>
    </row>
    <row r="873" spans="4:6" ht="10.5" customHeight="1">
      <c r="D873" s="17" t="s">
        <v>1372</v>
      </c>
      <c r="F873" s="23">
        <v>522.565</v>
      </c>
    </row>
    <row r="874" spans="1:43" ht="12.75">
      <c r="A874" s="5" t="s">
        <v>511</v>
      </c>
      <c r="B874" s="5" t="s">
        <v>592</v>
      </c>
      <c r="C874" s="5" t="s">
        <v>877</v>
      </c>
      <c r="D874" s="5" t="s">
        <v>1373</v>
      </c>
      <c r="E874" s="5" t="s">
        <v>1495</v>
      </c>
      <c r="F874" s="22">
        <v>44.1</v>
      </c>
      <c r="G874" s="22">
        <v>0</v>
      </c>
      <c r="H874" s="22">
        <f>F874*AE874</f>
        <v>0</v>
      </c>
      <c r="I874" s="22">
        <f>J874-H874</f>
        <v>0</v>
      </c>
      <c r="J874" s="22">
        <f>F874*G874</f>
        <v>0</v>
      </c>
      <c r="K874" s="22">
        <v>7E-05</v>
      </c>
      <c r="L874" s="22">
        <f>F874*K874</f>
        <v>0.003087</v>
      </c>
      <c r="M874" s="35" t="s">
        <v>1523</v>
      </c>
      <c r="N874" s="35" t="s">
        <v>7</v>
      </c>
      <c r="O874" s="22">
        <f>IF(N874="5",I874,0)</f>
        <v>0</v>
      </c>
      <c r="Z874" s="22">
        <f>IF(AD874=0,J874,0)</f>
        <v>0</v>
      </c>
      <c r="AA874" s="22">
        <f>IF(AD874=15,J874,0)</f>
        <v>0</v>
      </c>
      <c r="AB874" s="22">
        <f>IF(AD874=21,J874,0)</f>
        <v>0</v>
      </c>
      <c r="AD874" s="39">
        <v>15</v>
      </c>
      <c r="AE874" s="39">
        <f>G874*0.34</f>
        <v>0</v>
      </c>
      <c r="AF874" s="39">
        <f>G874*(1-0.34)</f>
        <v>0</v>
      </c>
      <c r="AM874" s="39">
        <f>F874*AE874</f>
        <v>0</v>
      </c>
      <c r="AN874" s="39">
        <f>F874*AF874</f>
        <v>0</v>
      </c>
      <c r="AO874" s="40" t="s">
        <v>1590</v>
      </c>
      <c r="AP874" s="40" t="s">
        <v>1596</v>
      </c>
      <c r="AQ874" s="31" t="s">
        <v>1611</v>
      </c>
    </row>
    <row r="875" spans="4:6" ht="10.5" customHeight="1">
      <c r="D875" s="17" t="s">
        <v>1374</v>
      </c>
      <c r="F875" s="23">
        <v>44.1</v>
      </c>
    </row>
    <row r="876" spans="1:43" ht="12.75">
      <c r="A876" s="5" t="s">
        <v>512</v>
      </c>
      <c r="B876" s="5" t="s">
        <v>592</v>
      </c>
      <c r="C876" s="5" t="s">
        <v>878</v>
      </c>
      <c r="D876" s="5" t="s">
        <v>1375</v>
      </c>
      <c r="E876" s="5" t="s">
        <v>1495</v>
      </c>
      <c r="F876" s="22">
        <v>122.9</v>
      </c>
      <c r="G876" s="22">
        <v>0</v>
      </c>
      <c r="H876" s="22">
        <f>F876*AE876</f>
        <v>0</v>
      </c>
      <c r="I876" s="22">
        <f>J876-H876</f>
        <v>0</v>
      </c>
      <c r="J876" s="22">
        <f>F876*G876</f>
        <v>0</v>
      </c>
      <c r="K876" s="22">
        <v>0.00015</v>
      </c>
      <c r="L876" s="22">
        <f>F876*K876</f>
        <v>0.018435</v>
      </c>
      <c r="M876" s="35" t="s">
        <v>1523</v>
      </c>
      <c r="N876" s="35" t="s">
        <v>7</v>
      </c>
      <c r="O876" s="22">
        <f>IF(N876="5",I876,0)</f>
        <v>0</v>
      </c>
      <c r="Z876" s="22">
        <f>IF(AD876=0,J876,0)</f>
        <v>0</v>
      </c>
      <c r="AA876" s="22">
        <f>IF(AD876=15,J876,0)</f>
        <v>0</v>
      </c>
      <c r="AB876" s="22">
        <f>IF(AD876=21,J876,0)</f>
        <v>0</v>
      </c>
      <c r="AD876" s="39">
        <v>15</v>
      </c>
      <c r="AE876" s="39">
        <f>G876*0.492093023255814</f>
        <v>0</v>
      </c>
      <c r="AF876" s="39">
        <f>G876*(1-0.492093023255814)</f>
        <v>0</v>
      </c>
      <c r="AM876" s="39">
        <f>F876*AE876</f>
        <v>0</v>
      </c>
      <c r="AN876" s="39">
        <f>F876*AF876</f>
        <v>0</v>
      </c>
      <c r="AO876" s="40" t="s">
        <v>1590</v>
      </c>
      <c r="AP876" s="40" t="s">
        <v>1596</v>
      </c>
      <c r="AQ876" s="31" t="s">
        <v>1611</v>
      </c>
    </row>
    <row r="877" ht="12.75">
      <c r="D877" s="18" t="s">
        <v>1376</v>
      </c>
    </row>
    <row r="878" spans="4:6" ht="10.5" customHeight="1">
      <c r="D878" s="17" t="s">
        <v>1377</v>
      </c>
      <c r="F878" s="23">
        <v>111.3</v>
      </c>
    </row>
    <row r="879" spans="4:6" ht="10.5" customHeight="1">
      <c r="D879" s="17" t="s">
        <v>1378</v>
      </c>
      <c r="F879" s="23">
        <v>11.6</v>
      </c>
    </row>
    <row r="880" spans="1:43" ht="12.75">
      <c r="A880" s="5" t="s">
        <v>513</v>
      </c>
      <c r="B880" s="5" t="s">
        <v>592</v>
      </c>
      <c r="C880" s="5" t="s">
        <v>879</v>
      </c>
      <c r="D880" s="5" t="s">
        <v>1379</v>
      </c>
      <c r="E880" s="5" t="s">
        <v>1493</v>
      </c>
      <c r="F880" s="22">
        <v>469.015</v>
      </c>
      <c r="G880" s="22">
        <v>0</v>
      </c>
      <c r="H880" s="22">
        <f>F880*AE880</f>
        <v>0</v>
      </c>
      <c r="I880" s="22">
        <f>J880-H880</f>
        <v>0</v>
      </c>
      <c r="J880" s="22">
        <f>F880*G880</f>
        <v>0</v>
      </c>
      <c r="K880" s="22">
        <v>0.00315</v>
      </c>
      <c r="L880" s="22">
        <f>F880*K880</f>
        <v>1.4773972499999999</v>
      </c>
      <c r="M880" s="35" t="s">
        <v>1523</v>
      </c>
      <c r="N880" s="35" t="s">
        <v>7</v>
      </c>
      <c r="O880" s="22">
        <f>IF(N880="5",I880,0)</f>
        <v>0</v>
      </c>
      <c r="Z880" s="22">
        <f>IF(AD880=0,J880,0)</f>
        <v>0</v>
      </c>
      <c r="AA880" s="22">
        <f>IF(AD880=15,J880,0)</f>
        <v>0</v>
      </c>
      <c r="AB880" s="22">
        <f>IF(AD880=21,J880,0)</f>
        <v>0</v>
      </c>
      <c r="AD880" s="39">
        <v>15</v>
      </c>
      <c r="AE880" s="39">
        <f>G880*0.347760703040556</f>
        <v>0</v>
      </c>
      <c r="AF880" s="39">
        <f>G880*(1-0.347760703040556)</f>
        <v>0</v>
      </c>
      <c r="AM880" s="39">
        <f>F880*AE880</f>
        <v>0</v>
      </c>
      <c r="AN880" s="39">
        <f>F880*AF880</f>
        <v>0</v>
      </c>
      <c r="AO880" s="40" t="s">
        <v>1590</v>
      </c>
      <c r="AP880" s="40" t="s">
        <v>1596</v>
      </c>
      <c r="AQ880" s="31" t="s">
        <v>1611</v>
      </c>
    </row>
    <row r="881" ht="12.75">
      <c r="D881" s="18" t="s">
        <v>1380</v>
      </c>
    </row>
    <row r="882" spans="4:6" ht="10.5" customHeight="1">
      <c r="D882" s="17" t="s">
        <v>1381</v>
      </c>
      <c r="F882" s="23">
        <v>469.015</v>
      </c>
    </row>
    <row r="883" spans="1:43" ht="12.75">
      <c r="A883" s="5" t="s">
        <v>514</v>
      </c>
      <c r="B883" s="5" t="s">
        <v>592</v>
      </c>
      <c r="C883" s="5" t="s">
        <v>880</v>
      </c>
      <c r="D883" s="5" t="s">
        <v>1382</v>
      </c>
      <c r="E883" s="5" t="s">
        <v>1493</v>
      </c>
      <c r="F883" s="22">
        <v>469.015</v>
      </c>
      <c r="G883" s="22">
        <v>0</v>
      </c>
      <c r="H883" s="22">
        <f>F883*AE883</f>
        <v>0</v>
      </c>
      <c r="I883" s="22">
        <f>J883-H883</f>
        <v>0</v>
      </c>
      <c r="J883" s="22">
        <f>F883*G883</f>
        <v>0</v>
      </c>
      <c r="K883" s="22">
        <v>0.00032</v>
      </c>
      <c r="L883" s="22">
        <f>F883*K883</f>
        <v>0.15008480000000002</v>
      </c>
      <c r="M883" s="35" t="s">
        <v>1523</v>
      </c>
      <c r="N883" s="35" t="s">
        <v>7</v>
      </c>
      <c r="O883" s="22">
        <f>IF(N883="5",I883,0)</f>
        <v>0</v>
      </c>
      <c r="Z883" s="22">
        <f>IF(AD883=0,J883,0)</f>
        <v>0</v>
      </c>
      <c r="AA883" s="22">
        <f>IF(AD883=15,J883,0)</f>
        <v>0</v>
      </c>
      <c r="AB883" s="22">
        <f>IF(AD883=21,J883,0)</f>
        <v>0</v>
      </c>
      <c r="AD883" s="39">
        <v>15</v>
      </c>
      <c r="AE883" s="39">
        <f>G883*0.581081081081081</f>
        <v>0</v>
      </c>
      <c r="AF883" s="39">
        <f>G883*(1-0.581081081081081)</f>
        <v>0</v>
      </c>
      <c r="AM883" s="39">
        <f>F883*AE883</f>
        <v>0</v>
      </c>
      <c r="AN883" s="39">
        <f>F883*AF883</f>
        <v>0</v>
      </c>
      <c r="AO883" s="40" t="s">
        <v>1590</v>
      </c>
      <c r="AP883" s="40" t="s">
        <v>1596</v>
      </c>
      <c r="AQ883" s="31" t="s">
        <v>1611</v>
      </c>
    </row>
    <row r="884" spans="4:6" ht="10.5" customHeight="1">
      <c r="D884" s="17" t="s">
        <v>1381</v>
      </c>
      <c r="F884" s="23">
        <v>469.015</v>
      </c>
    </row>
    <row r="885" spans="1:43" ht="12.75">
      <c r="A885" s="6" t="s">
        <v>515</v>
      </c>
      <c r="B885" s="6" t="s">
        <v>592</v>
      </c>
      <c r="C885" s="6" t="s">
        <v>881</v>
      </c>
      <c r="D885" s="6" t="s">
        <v>1383</v>
      </c>
      <c r="E885" s="6" t="s">
        <v>1495</v>
      </c>
      <c r="F885" s="24">
        <v>236.187</v>
      </c>
      <c r="G885" s="24">
        <v>0</v>
      </c>
      <c r="H885" s="24">
        <f>F885*AE885</f>
        <v>0</v>
      </c>
      <c r="I885" s="24">
        <f>J885-H885</f>
        <v>0</v>
      </c>
      <c r="J885" s="24">
        <f>F885*G885</f>
        <v>0</v>
      </c>
      <c r="K885" s="24">
        <v>0.0001</v>
      </c>
      <c r="L885" s="24">
        <f>F885*K885</f>
        <v>0.023618700000000003</v>
      </c>
      <c r="M885" s="36" t="s">
        <v>1523</v>
      </c>
      <c r="N885" s="36" t="s">
        <v>1526</v>
      </c>
      <c r="O885" s="24">
        <f>IF(N885="5",I885,0)</f>
        <v>0</v>
      </c>
      <c r="Z885" s="24">
        <f>IF(AD885=0,J885,0)</f>
        <v>0</v>
      </c>
      <c r="AA885" s="24">
        <f>IF(AD885=15,J885,0)</f>
        <v>0</v>
      </c>
      <c r="AB885" s="24">
        <f>IF(AD885=21,J885,0)</f>
        <v>0</v>
      </c>
      <c r="AD885" s="39">
        <v>15</v>
      </c>
      <c r="AE885" s="39">
        <f>G885*1</f>
        <v>0</v>
      </c>
      <c r="AF885" s="39">
        <f>G885*(1-1)</f>
        <v>0</v>
      </c>
      <c r="AM885" s="39">
        <f>F885*AE885</f>
        <v>0</v>
      </c>
      <c r="AN885" s="39">
        <f>F885*AF885</f>
        <v>0</v>
      </c>
      <c r="AO885" s="40" t="s">
        <v>1590</v>
      </c>
      <c r="AP885" s="40" t="s">
        <v>1596</v>
      </c>
      <c r="AQ885" s="31" t="s">
        <v>1611</v>
      </c>
    </row>
    <row r="886" spans="4:6" ht="10.5" customHeight="1">
      <c r="D886" s="17" t="s">
        <v>1384</v>
      </c>
      <c r="F886" s="23">
        <v>236.187</v>
      </c>
    </row>
    <row r="887" spans="1:37" ht="12.75">
      <c r="A887" s="4"/>
      <c r="B887" s="14" t="s">
        <v>592</v>
      </c>
      <c r="C887" s="14" t="s">
        <v>70</v>
      </c>
      <c r="D887" s="104" t="s">
        <v>971</v>
      </c>
      <c r="E887" s="105"/>
      <c r="F887" s="105"/>
      <c r="G887" s="105"/>
      <c r="H887" s="42">
        <f>SUM(H888:H900)</f>
        <v>0</v>
      </c>
      <c r="I887" s="42">
        <f>SUM(I888:I900)</f>
        <v>0</v>
      </c>
      <c r="J887" s="42">
        <f>H887+I887</f>
        <v>0</v>
      </c>
      <c r="K887" s="31"/>
      <c r="L887" s="42">
        <f>SUM(L888:L900)</f>
        <v>4.35168</v>
      </c>
      <c r="M887" s="31"/>
      <c r="P887" s="42">
        <f>IF(Q887="PR",J887,SUM(O888:O900))</f>
        <v>0</v>
      </c>
      <c r="Q887" s="31" t="s">
        <v>1529</v>
      </c>
      <c r="R887" s="42">
        <f>IF(Q887="HS",H887,0)</f>
        <v>0</v>
      </c>
      <c r="S887" s="42">
        <f>IF(Q887="HS",I887-P887,0)</f>
        <v>0</v>
      </c>
      <c r="T887" s="42">
        <f>IF(Q887="PS",H887,0)</f>
        <v>0</v>
      </c>
      <c r="U887" s="42">
        <f>IF(Q887="PS",I887-P887,0)</f>
        <v>0</v>
      </c>
      <c r="V887" s="42">
        <f>IF(Q887="MP",H887,0)</f>
        <v>0</v>
      </c>
      <c r="W887" s="42">
        <f>IF(Q887="MP",I887-P887,0)</f>
        <v>0</v>
      </c>
      <c r="X887" s="42">
        <f>IF(Q887="OM",H887,0)</f>
        <v>0</v>
      </c>
      <c r="Y887" s="31" t="s">
        <v>592</v>
      </c>
      <c r="AI887" s="42">
        <f>SUM(Z888:Z900)</f>
        <v>0</v>
      </c>
      <c r="AJ887" s="42">
        <f>SUM(AA888:AA900)</f>
        <v>0</v>
      </c>
      <c r="AK887" s="42">
        <f>SUM(AB888:AB900)</f>
        <v>0</v>
      </c>
    </row>
    <row r="888" spans="1:43" ht="12.75">
      <c r="A888" s="6" t="s">
        <v>516</v>
      </c>
      <c r="B888" s="6" t="s">
        <v>592</v>
      </c>
      <c r="C888" s="6" t="s">
        <v>882</v>
      </c>
      <c r="D888" s="6" t="s">
        <v>1385</v>
      </c>
      <c r="E888" s="6" t="s">
        <v>1494</v>
      </c>
      <c r="F888" s="24">
        <v>21</v>
      </c>
      <c r="G888" s="24">
        <v>0</v>
      </c>
      <c r="H888" s="24">
        <f aca="true" t="shared" si="182" ref="H888:H900">F888*AE888</f>
        <v>0</v>
      </c>
      <c r="I888" s="24">
        <f aca="true" t="shared" si="183" ref="I888:I900">J888-H888</f>
        <v>0</v>
      </c>
      <c r="J888" s="24">
        <f aca="true" t="shared" si="184" ref="J888:J900">F888*G888</f>
        <v>0</v>
      </c>
      <c r="K888" s="24">
        <v>0.068</v>
      </c>
      <c r="L888" s="24">
        <f aca="true" t="shared" si="185" ref="L888:L900">F888*K888</f>
        <v>1.4280000000000002</v>
      </c>
      <c r="M888" s="36" t="s">
        <v>1523</v>
      </c>
      <c r="N888" s="36" t="s">
        <v>1526</v>
      </c>
      <c r="O888" s="24">
        <f aca="true" t="shared" si="186" ref="O888:O900">IF(N888="5",I888,0)</f>
        <v>0</v>
      </c>
      <c r="Z888" s="24">
        <f aca="true" t="shared" si="187" ref="Z888:Z900">IF(AD888=0,J888,0)</f>
        <v>0</v>
      </c>
      <c r="AA888" s="24">
        <f aca="true" t="shared" si="188" ref="AA888:AA900">IF(AD888=15,J888,0)</f>
        <v>0</v>
      </c>
      <c r="AB888" s="24">
        <f aca="true" t="shared" si="189" ref="AB888:AB900">IF(AD888=21,J888,0)</f>
        <v>0</v>
      </c>
      <c r="AD888" s="39">
        <v>15</v>
      </c>
      <c r="AE888" s="39">
        <f>G888*1</f>
        <v>0</v>
      </c>
      <c r="AF888" s="39">
        <f>G888*(1-1)</f>
        <v>0</v>
      </c>
      <c r="AM888" s="39">
        <f aca="true" t="shared" si="190" ref="AM888:AM900">F888*AE888</f>
        <v>0</v>
      </c>
      <c r="AN888" s="39">
        <f aca="true" t="shared" si="191" ref="AN888:AN900">F888*AF888</f>
        <v>0</v>
      </c>
      <c r="AO888" s="40" t="s">
        <v>1541</v>
      </c>
      <c r="AP888" s="40" t="s">
        <v>1596</v>
      </c>
      <c r="AQ888" s="31" t="s">
        <v>1611</v>
      </c>
    </row>
    <row r="889" spans="1:43" ht="12.75">
      <c r="A889" s="5" t="s">
        <v>517</v>
      </c>
      <c r="B889" s="5" t="s">
        <v>592</v>
      </c>
      <c r="C889" s="5" t="s">
        <v>883</v>
      </c>
      <c r="D889" s="5" t="s">
        <v>1386</v>
      </c>
      <c r="E889" s="5" t="s">
        <v>1494</v>
      </c>
      <c r="F889" s="22">
        <v>21</v>
      </c>
      <c r="G889" s="22">
        <v>0</v>
      </c>
      <c r="H889" s="22">
        <f t="shared" si="182"/>
        <v>0</v>
      </c>
      <c r="I889" s="22">
        <f t="shared" si="183"/>
        <v>0</v>
      </c>
      <c r="J889" s="22">
        <f t="shared" si="184"/>
        <v>0</v>
      </c>
      <c r="K889" s="22">
        <v>0.00165</v>
      </c>
      <c r="L889" s="22">
        <f t="shared" si="185"/>
        <v>0.03465</v>
      </c>
      <c r="M889" s="35" t="s">
        <v>1523</v>
      </c>
      <c r="N889" s="35" t="s">
        <v>7</v>
      </c>
      <c r="O889" s="22">
        <f t="shared" si="186"/>
        <v>0</v>
      </c>
      <c r="Z889" s="22">
        <f t="shared" si="187"/>
        <v>0</v>
      </c>
      <c r="AA889" s="22">
        <f t="shared" si="188"/>
        <v>0</v>
      </c>
      <c r="AB889" s="22">
        <f t="shared" si="189"/>
        <v>0</v>
      </c>
      <c r="AD889" s="39">
        <v>15</v>
      </c>
      <c r="AE889" s="39">
        <f>G889*0.158382608695652</f>
        <v>0</v>
      </c>
      <c r="AF889" s="39">
        <f>G889*(1-0.158382608695652)</f>
        <v>0</v>
      </c>
      <c r="AM889" s="39">
        <f t="shared" si="190"/>
        <v>0</v>
      </c>
      <c r="AN889" s="39">
        <f t="shared" si="191"/>
        <v>0</v>
      </c>
      <c r="AO889" s="40" t="s">
        <v>1541</v>
      </c>
      <c r="AP889" s="40" t="s">
        <v>1596</v>
      </c>
      <c r="AQ889" s="31" t="s">
        <v>1611</v>
      </c>
    </row>
    <row r="890" spans="1:43" ht="12.75">
      <c r="A890" s="6" t="s">
        <v>518</v>
      </c>
      <c r="B890" s="6" t="s">
        <v>592</v>
      </c>
      <c r="C890" s="6" t="s">
        <v>884</v>
      </c>
      <c r="D890" s="6" t="s">
        <v>1387</v>
      </c>
      <c r="E890" s="6" t="s">
        <v>1494</v>
      </c>
      <c r="F890" s="24">
        <v>5</v>
      </c>
      <c r="G890" s="24">
        <v>0</v>
      </c>
      <c r="H890" s="24">
        <f t="shared" si="182"/>
        <v>0</v>
      </c>
      <c r="I890" s="24">
        <f t="shared" si="183"/>
        <v>0</v>
      </c>
      <c r="J890" s="24">
        <f t="shared" si="184"/>
        <v>0</v>
      </c>
      <c r="K890" s="24">
        <v>0.0131</v>
      </c>
      <c r="L890" s="24">
        <f t="shared" si="185"/>
        <v>0.0655</v>
      </c>
      <c r="M890" s="36" t="s">
        <v>1523</v>
      </c>
      <c r="N890" s="36" t="s">
        <v>1526</v>
      </c>
      <c r="O890" s="24">
        <f t="shared" si="186"/>
        <v>0</v>
      </c>
      <c r="Z890" s="24">
        <f t="shared" si="187"/>
        <v>0</v>
      </c>
      <c r="AA890" s="24">
        <f t="shared" si="188"/>
        <v>0</v>
      </c>
      <c r="AB890" s="24">
        <f t="shared" si="189"/>
        <v>0</v>
      </c>
      <c r="AD890" s="39">
        <v>15</v>
      </c>
      <c r="AE890" s="39">
        <f>G890*1</f>
        <v>0</v>
      </c>
      <c r="AF890" s="39">
        <f>G890*(1-1)</f>
        <v>0</v>
      </c>
      <c r="AM890" s="39">
        <f t="shared" si="190"/>
        <v>0</v>
      </c>
      <c r="AN890" s="39">
        <f t="shared" si="191"/>
        <v>0</v>
      </c>
      <c r="AO890" s="40" t="s">
        <v>1541</v>
      </c>
      <c r="AP890" s="40" t="s">
        <v>1596</v>
      </c>
      <c r="AQ890" s="31" t="s">
        <v>1611</v>
      </c>
    </row>
    <row r="891" spans="1:43" ht="12.75">
      <c r="A891" s="5" t="s">
        <v>519</v>
      </c>
      <c r="B891" s="5" t="s">
        <v>592</v>
      </c>
      <c r="C891" s="5" t="s">
        <v>885</v>
      </c>
      <c r="D891" s="5" t="s">
        <v>1388</v>
      </c>
      <c r="E891" s="5" t="s">
        <v>1494</v>
      </c>
      <c r="F891" s="22">
        <v>5</v>
      </c>
      <c r="G891" s="22">
        <v>0</v>
      </c>
      <c r="H891" s="22">
        <f t="shared" si="182"/>
        <v>0</v>
      </c>
      <c r="I891" s="22">
        <f t="shared" si="183"/>
        <v>0</v>
      </c>
      <c r="J891" s="22">
        <f t="shared" si="184"/>
        <v>0</v>
      </c>
      <c r="K891" s="22">
        <v>0.0009</v>
      </c>
      <c r="L891" s="22">
        <f t="shared" si="185"/>
        <v>0.0045</v>
      </c>
      <c r="M891" s="35" t="s">
        <v>1523</v>
      </c>
      <c r="N891" s="35" t="s">
        <v>7</v>
      </c>
      <c r="O891" s="22">
        <f t="shared" si="186"/>
        <v>0</v>
      </c>
      <c r="Z891" s="22">
        <f t="shared" si="187"/>
        <v>0</v>
      </c>
      <c r="AA891" s="22">
        <f t="shared" si="188"/>
        <v>0</v>
      </c>
      <c r="AB891" s="22">
        <f t="shared" si="189"/>
        <v>0</v>
      </c>
      <c r="AD891" s="39">
        <v>15</v>
      </c>
      <c r="AE891" s="39">
        <f>G891*0.116371359223301</f>
        <v>0</v>
      </c>
      <c r="AF891" s="39">
        <f>G891*(1-0.116371359223301)</f>
        <v>0</v>
      </c>
      <c r="AM891" s="39">
        <f t="shared" si="190"/>
        <v>0</v>
      </c>
      <c r="AN891" s="39">
        <f t="shared" si="191"/>
        <v>0</v>
      </c>
      <c r="AO891" s="40" t="s">
        <v>1541</v>
      </c>
      <c r="AP891" s="40" t="s">
        <v>1596</v>
      </c>
      <c r="AQ891" s="31" t="s">
        <v>1611</v>
      </c>
    </row>
    <row r="892" spans="1:43" ht="12.75">
      <c r="A892" s="6" t="s">
        <v>520</v>
      </c>
      <c r="B892" s="6" t="s">
        <v>592</v>
      </c>
      <c r="C892" s="6" t="s">
        <v>886</v>
      </c>
      <c r="D892" s="6" t="s">
        <v>1389</v>
      </c>
      <c r="E892" s="6" t="s">
        <v>1494</v>
      </c>
      <c r="F892" s="24">
        <v>4</v>
      </c>
      <c r="G892" s="24">
        <v>0</v>
      </c>
      <c r="H892" s="24">
        <f t="shared" si="182"/>
        <v>0</v>
      </c>
      <c r="I892" s="24">
        <f t="shared" si="183"/>
        <v>0</v>
      </c>
      <c r="J892" s="24">
        <f t="shared" si="184"/>
        <v>0</v>
      </c>
      <c r="K892" s="24">
        <v>0.034</v>
      </c>
      <c r="L892" s="24">
        <f t="shared" si="185"/>
        <v>0.136</v>
      </c>
      <c r="M892" s="36" t="s">
        <v>1523</v>
      </c>
      <c r="N892" s="36" t="s">
        <v>1526</v>
      </c>
      <c r="O892" s="24">
        <f t="shared" si="186"/>
        <v>0</v>
      </c>
      <c r="Z892" s="24">
        <f t="shared" si="187"/>
        <v>0</v>
      </c>
      <c r="AA892" s="24">
        <f t="shared" si="188"/>
        <v>0</v>
      </c>
      <c r="AB892" s="24">
        <f t="shared" si="189"/>
        <v>0</v>
      </c>
      <c r="AD892" s="39">
        <v>15</v>
      </c>
      <c r="AE892" s="39">
        <f>G892*1</f>
        <v>0</v>
      </c>
      <c r="AF892" s="39">
        <f>G892*(1-1)</f>
        <v>0</v>
      </c>
      <c r="AM892" s="39">
        <f t="shared" si="190"/>
        <v>0</v>
      </c>
      <c r="AN892" s="39">
        <f t="shared" si="191"/>
        <v>0</v>
      </c>
      <c r="AO892" s="40" t="s">
        <v>1541</v>
      </c>
      <c r="AP892" s="40" t="s">
        <v>1596</v>
      </c>
      <c r="AQ892" s="31" t="s">
        <v>1611</v>
      </c>
    </row>
    <row r="893" spans="1:43" ht="12.75">
      <c r="A893" s="5" t="s">
        <v>521</v>
      </c>
      <c r="B893" s="5" t="s">
        <v>592</v>
      </c>
      <c r="C893" s="5" t="s">
        <v>887</v>
      </c>
      <c r="D893" s="5" t="s">
        <v>1390</v>
      </c>
      <c r="E893" s="5" t="s">
        <v>1494</v>
      </c>
      <c r="F893" s="22">
        <v>4</v>
      </c>
      <c r="G893" s="22">
        <v>0</v>
      </c>
      <c r="H893" s="22">
        <f t="shared" si="182"/>
        <v>0</v>
      </c>
      <c r="I893" s="22">
        <f t="shared" si="183"/>
        <v>0</v>
      </c>
      <c r="J893" s="22">
        <f t="shared" si="184"/>
        <v>0</v>
      </c>
      <c r="K893" s="22">
        <v>0.00182</v>
      </c>
      <c r="L893" s="22">
        <f t="shared" si="185"/>
        <v>0.00728</v>
      </c>
      <c r="M893" s="35" t="s">
        <v>1523</v>
      </c>
      <c r="N893" s="35" t="s">
        <v>9</v>
      </c>
      <c r="O893" s="22">
        <f t="shared" si="186"/>
        <v>0</v>
      </c>
      <c r="Z893" s="22">
        <f t="shared" si="187"/>
        <v>0</v>
      </c>
      <c r="AA893" s="22">
        <f t="shared" si="188"/>
        <v>0</v>
      </c>
      <c r="AB893" s="22">
        <f t="shared" si="189"/>
        <v>0</v>
      </c>
      <c r="AD893" s="39">
        <v>15</v>
      </c>
      <c r="AE893" s="39">
        <f>G893*0.198452380952381</f>
        <v>0</v>
      </c>
      <c r="AF893" s="39">
        <f>G893*(1-0.198452380952381)</f>
        <v>0</v>
      </c>
      <c r="AM893" s="39">
        <f t="shared" si="190"/>
        <v>0</v>
      </c>
      <c r="AN893" s="39">
        <f t="shared" si="191"/>
        <v>0</v>
      </c>
      <c r="AO893" s="40" t="s">
        <v>1541</v>
      </c>
      <c r="AP893" s="40" t="s">
        <v>1596</v>
      </c>
      <c r="AQ893" s="31" t="s">
        <v>1611</v>
      </c>
    </row>
    <row r="894" spans="1:43" ht="12.75">
      <c r="A894" s="6" t="s">
        <v>522</v>
      </c>
      <c r="B894" s="6" t="s">
        <v>592</v>
      </c>
      <c r="C894" s="6" t="s">
        <v>888</v>
      </c>
      <c r="D894" s="6" t="s">
        <v>1391</v>
      </c>
      <c r="E894" s="6" t="s">
        <v>1494</v>
      </c>
      <c r="F894" s="24">
        <v>2</v>
      </c>
      <c r="G894" s="24">
        <v>0</v>
      </c>
      <c r="H894" s="24">
        <f t="shared" si="182"/>
        <v>0</v>
      </c>
      <c r="I894" s="24">
        <f t="shared" si="183"/>
        <v>0</v>
      </c>
      <c r="J894" s="24">
        <f t="shared" si="184"/>
        <v>0</v>
      </c>
      <c r="K894" s="24">
        <v>0.042</v>
      </c>
      <c r="L894" s="24">
        <f t="shared" si="185"/>
        <v>0.084</v>
      </c>
      <c r="M894" s="36" t="s">
        <v>1523</v>
      </c>
      <c r="N894" s="36" t="s">
        <v>1526</v>
      </c>
      <c r="O894" s="24">
        <f t="shared" si="186"/>
        <v>0</v>
      </c>
      <c r="Z894" s="24">
        <f t="shared" si="187"/>
        <v>0</v>
      </c>
      <c r="AA894" s="24">
        <f t="shared" si="188"/>
        <v>0</v>
      </c>
      <c r="AB894" s="24">
        <f t="shared" si="189"/>
        <v>0</v>
      </c>
      <c r="AD894" s="39">
        <v>15</v>
      </c>
      <c r="AE894" s="39">
        <f>G894*1</f>
        <v>0</v>
      </c>
      <c r="AF894" s="39">
        <f>G894*(1-1)</f>
        <v>0</v>
      </c>
      <c r="AM894" s="39">
        <f t="shared" si="190"/>
        <v>0</v>
      </c>
      <c r="AN894" s="39">
        <f t="shared" si="191"/>
        <v>0</v>
      </c>
      <c r="AO894" s="40" t="s">
        <v>1541</v>
      </c>
      <c r="AP894" s="40" t="s">
        <v>1596</v>
      </c>
      <c r="AQ894" s="31" t="s">
        <v>1611</v>
      </c>
    </row>
    <row r="895" spans="1:43" ht="12.75">
      <c r="A895" s="5" t="s">
        <v>523</v>
      </c>
      <c r="B895" s="5" t="s">
        <v>592</v>
      </c>
      <c r="C895" s="5" t="s">
        <v>889</v>
      </c>
      <c r="D895" s="5" t="s">
        <v>1392</v>
      </c>
      <c r="E895" s="5" t="s">
        <v>1494</v>
      </c>
      <c r="F895" s="22">
        <v>2</v>
      </c>
      <c r="G895" s="22">
        <v>0</v>
      </c>
      <c r="H895" s="22">
        <f t="shared" si="182"/>
        <v>0</v>
      </c>
      <c r="I895" s="22">
        <f t="shared" si="183"/>
        <v>0</v>
      </c>
      <c r="J895" s="22">
        <f t="shared" si="184"/>
        <v>0</v>
      </c>
      <c r="K895" s="22">
        <v>0.00162</v>
      </c>
      <c r="L895" s="22">
        <f t="shared" si="185"/>
        <v>0.00324</v>
      </c>
      <c r="M895" s="35" t="s">
        <v>1523</v>
      </c>
      <c r="N895" s="35" t="s">
        <v>9</v>
      </c>
      <c r="O895" s="22">
        <f t="shared" si="186"/>
        <v>0</v>
      </c>
      <c r="Z895" s="22">
        <f t="shared" si="187"/>
        <v>0</v>
      </c>
      <c r="AA895" s="22">
        <f t="shared" si="188"/>
        <v>0</v>
      </c>
      <c r="AB895" s="22">
        <f t="shared" si="189"/>
        <v>0</v>
      </c>
      <c r="AD895" s="39">
        <v>15</v>
      </c>
      <c r="AE895" s="39">
        <f>G895*0.159044679307549</f>
        <v>0</v>
      </c>
      <c r="AF895" s="39">
        <f>G895*(1-0.159044679307549)</f>
        <v>0</v>
      </c>
      <c r="AM895" s="39">
        <f t="shared" si="190"/>
        <v>0</v>
      </c>
      <c r="AN895" s="39">
        <f t="shared" si="191"/>
        <v>0</v>
      </c>
      <c r="AO895" s="40" t="s">
        <v>1541</v>
      </c>
      <c r="AP895" s="40" t="s">
        <v>1596</v>
      </c>
      <c r="AQ895" s="31" t="s">
        <v>1611</v>
      </c>
    </row>
    <row r="896" spans="1:43" ht="12.75">
      <c r="A896" s="6" t="s">
        <v>524</v>
      </c>
      <c r="B896" s="6" t="s">
        <v>592</v>
      </c>
      <c r="C896" s="6" t="s">
        <v>890</v>
      </c>
      <c r="D896" s="6" t="s">
        <v>1393</v>
      </c>
      <c r="E896" s="6" t="s">
        <v>1494</v>
      </c>
      <c r="F896" s="24">
        <v>1</v>
      </c>
      <c r="G896" s="24">
        <v>0</v>
      </c>
      <c r="H896" s="24">
        <f t="shared" si="182"/>
        <v>0</v>
      </c>
      <c r="I896" s="24">
        <f t="shared" si="183"/>
        <v>0</v>
      </c>
      <c r="J896" s="24">
        <f t="shared" si="184"/>
        <v>0</v>
      </c>
      <c r="K896" s="24">
        <v>0.044</v>
      </c>
      <c r="L896" s="24">
        <f t="shared" si="185"/>
        <v>0.044</v>
      </c>
      <c r="M896" s="36" t="s">
        <v>1523</v>
      </c>
      <c r="N896" s="36" t="s">
        <v>1526</v>
      </c>
      <c r="O896" s="24">
        <f t="shared" si="186"/>
        <v>0</v>
      </c>
      <c r="Z896" s="24">
        <f t="shared" si="187"/>
        <v>0</v>
      </c>
      <c r="AA896" s="24">
        <f t="shared" si="188"/>
        <v>0</v>
      </c>
      <c r="AB896" s="24">
        <f t="shared" si="189"/>
        <v>0</v>
      </c>
      <c r="AD896" s="39">
        <v>15</v>
      </c>
      <c r="AE896" s="39">
        <f>G896*1</f>
        <v>0</v>
      </c>
      <c r="AF896" s="39">
        <f>G896*(1-1)</f>
        <v>0</v>
      </c>
      <c r="AM896" s="39">
        <f t="shared" si="190"/>
        <v>0</v>
      </c>
      <c r="AN896" s="39">
        <f t="shared" si="191"/>
        <v>0</v>
      </c>
      <c r="AO896" s="40" t="s">
        <v>1541</v>
      </c>
      <c r="AP896" s="40" t="s">
        <v>1596</v>
      </c>
      <c r="AQ896" s="31" t="s">
        <v>1611</v>
      </c>
    </row>
    <row r="897" spans="1:43" ht="12.75">
      <c r="A897" s="5" t="s">
        <v>525</v>
      </c>
      <c r="B897" s="5" t="s">
        <v>592</v>
      </c>
      <c r="C897" s="5" t="s">
        <v>891</v>
      </c>
      <c r="D897" s="5" t="s">
        <v>1394</v>
      </c>
      <c r="E897" s="5" t="s">
        <v>1494</v>
      </c>
      <c r="F897" s="22">
        <v>1</v>
      </c>
      <c r="G897" s="22">
        <v>0</v>
      </c>
      <c r="H897" s="22">
        <f t="shared" si="182"/>
        <v>0</v>
      </c>
      <c r="I897" s="22">
        <f t="shared" si="183"/>
        <v>0</v>
      </c>
      <c r="J897" s="22">
        <f t="shared" si="184"/>
        <v>0</v>
      </c>
      <c r="K897" s="22">
        <v>0.15231</v>
      </c>
      <c r="L897" s="22">
        <f t="shared" si="185"/>
        <v>0.15231</v>
      </c>
      <c r="M897" s="35" t="s">
        <v>1523</v>
      </c>
      <c r="N897" s="35" t="s">
        <v>9</v>
      </c>
      <c r="O897" s="22">
        <f t="shared" si="186"/>
        <v>0</v>
      </c>
      <c r="Z897" s="22">
        <f t="shared" si="187"/>
        <v>0</v>
      </c>
      <c r="AA897" s="22">
        <f t="shared" si="188"/>
        <v>0</v>
      </c>
      <c r="AB897" s="22">
        <f t="shared" si="189"/>
        <v>0</v>
      </c>
      <c r="AD897" s="39">
        <v>15</v>
      </c>
      <c r="AE897" s="39">
        <f>G897*0.439766168637517</f>
        <v>0</v>
      </c>
      <c r="AF897" s="39">
        <f>G897*(1-0.439766168637517)</f>
        <v>0</v>
      </c>
      <c r="AM897" s="39">
        <f t="shared" si="190"/>
        <v>0</v>
      </c>
      <c r="AN897" s="39">
        <f t="shared" si="191"/>
        <v>0</v>
      </c>
      <c r="AO897" s="40" t="s">
        <v>1541</v>
      </c>
      <c r="AP897" s="40" t="s">
        <v>1596</v>
      </c>
      <c r="AQ897" s="31" t="s">
        <v>1611</v>
      </c>
    </row>
    <row r="898" spans="1:43" ht="12.75">
      <c r="A898" s="6" t="s">
        <v>526</v>
      </c>
      <c r="B898" s="6" t="s">
        <v>592</v>
      </c>
      <c r="C898" s="6" t="s">
        <v>892</v>
      </c>
      <c r="D898" s="6" t="s">
        <v>1395</v>
      </c>
      <c r="E898" s="6" t="s">
        <v>1494</v>
      </c>
      <c r="F898" s="24">
        <v>3</v>
      </c>
      <c r="G898" s="24">
        <v>0</v>
      </c>
      <c r="H898" s="24">
        <f t="shared" si="182"/>
        <v>0</v>
      </c>
      <c r="I898" s="24">
        <f t="shared" si="183"/>
        <v>0</v>
      </c>
      <c r="J898" s="24">
        <f t="shared" si="184"/>
        <v>0</v>
      </c>
      <c r="K898" s="24">
        <v>0</v>
      </c>
      <c r="L898" s="24">
        <f t="shared" si="185"/>
        <v>0</v>
      </c>
      <c r="M898" s="36" t="s">
        <v>1523</v>
      </c>
      <c r="N898" s="36" t="s">
        <v>1526</v>
      </c>
      <c r="O898" s="24">
        <f t="shared" si="186"/>
        <v>0</v>
      </c>
      <c r="Z898" s="24">
        <f t="shared" si="187"/>
        <v>0</v>
      </c>
      <c r="AA898" s="24">
        <f t="shared" si="188"/>
        <v>0</v>
      </c>
      <c r="AB898" s="24">
        <f t="shared" si="189"/>
        <v>0</v>
      </c>
      <c r="AD898" s="39">
        <v>15</v>
      </c>
      <c r="AE898" s="39">
        <f>G898*1</f>
        <v>0</v>
      </c>
      <c r="AF898" s="39">
        <f>G898*(1-1)</f>
        <v>0</v>
      </c>
      <c r="AM898" s="39">
        <f t="shared" si="190"/>
        <v>0</v>
      </c>
      <c r="AN898" s="39">
        <f t="shared" si="191"/>
        <v>0</v>
      </c>
      <c r="AO898" s="40" t="s">
        <v>1541</v>
      </c>
      <c r="AP898" s="40" t="s">
        <v>1596</v>
      </c>
      <c r="AQ898" s="31" t="s">
        <v>1611</v>
      </c>
    </row>
    <row r="899" spans="1:43" ht="12.75">
      <c r="A899" s="5" t="s">
        <v>527</v>
      </c>
      <c r="B899" s="5" t="s">
        <v>592</v>
      </c>
      <c r="C899" s="5" t="s">
        <v>893</v>
      </c>
      <c r="D899" s="5" t="s">
        <v>1396</v>
      </c>
      <c r="E899" s="5" t="s">
        <v>1494</v>
      </c>
      <c r="F899" s="22">
        <v>6</v>
      </c>
      <c r="G899" s="22">
        <v>0</v>
      </c>
      <c r="H899" s="22">
        <f t="shared" si="182"/>
        <v>0</v>
      </c>
      <c r="I899" s="22">
        <f t="shared" si="183"/>
        <v>0</v>
      </c>
      <c r="J899" s="22">
        <f t="shared" si="184"/>
        <v>0</v>
      </c>
      <c r="K899" s="22">
        <v>0</v>
      </c>
      <c r="L899" s="22">
        <f t="shared" si="185"/>
        <v>0</v>
      </c>
      <c r="M899" s="35" t="s">
        <v>1523</v>
      </c>
      <c r="N899" s="35" t="s">
        <v>7</v>
      </c>
      <c r="O899" s="22">
        <f t="shared" si="186"/>
        <v>0</v>
      </c>
      <c r="Z899" s="22">
        <f t="shared" si="187"/>
        <v>0</v>
      </c>
      <c r="AA899" s="22">
        <f t="shared" si="188"/>
        <v>0</v>
      </c>
      <c r="AB899" s="22">
        <f t="shared" si="189"/>
        <v>0</v>
      </c>
      <c r="AD899" s="39">
        <v>15</v>
      </c>
      <c r="AE899" s="39">
        <f>G899*0</f>
        <v>0</v>
      </c>
      <c r="AF899" s="39">
        <f>G899*(1-0)</f>
        <v>0</v>
      </c>
      <c r="AM899" s="39">
        <f t="shared" si="190"/>
        <v>0</v>
      </c>
      <c r="AN899" s="39">
        <f t="shared" si="191"/>
        <v>0</v>
      </c>
      <c r="AO899" s="40" t="s">
        <v>1541</v>
      </c>
      <c r="AP899" s="40" t="s">
        <v>1596</v>
      </c>
      <c r="AQ899" s="31" t="s">
        <v>1611</v>
      </c>
    </row>
    <row r="900" spans="1:43" ht="12.75">
      <c r="A900" s="6" t="s">
        <v>528</v>
      </c>
      <c r="B900" s="6" t="s">
        <v>592</v>
      </c>
      <c r="C900" s="6" t="s">
        <v>894</v>
      </c>
      <c r="D900" s="6" t="s">
        <v>1397</v>
      </c>
      <c r="E900" s="6" t="s">
        <v>1494</v>
      </c>
      <c r="F900" s="24">
        <v>6</v>
      </c>
      <c r="G900" s="24">
        <v>0</v>
      </c>
      <c r="H900" s="24">
        <f t="shared" si="182"/>
        <v>0</v>
      </c>
      <c r="I900" s="24">
        <f t="shared" si="183"/>
        <v>0</v>
      </c>
      <c r="J900" s="24">
        <f t="shared" si="184"/>
        <v>0</v>
      </c>
      <c r="K900" s="24">
        <v>0.3987</v>
      </c>
      <c r="L900" s="24">
        <f t="shared" si="185"/>
        <v>2.3922</v>
      </c>
      <c r="M900" s="36" t="s">
        <v>1523</v>
      </c>
      <c r="N900" s="36" t="s">
        <v>1526</v>
      </c>
      <c r="O900" s="24">
        <f t="shared" si="186"/>
        <v>0</v>
      </c>
      <c r="Z900" s="24">
        <f t="shared" si="187"/>
        <v>0</v>
      </c>
      <c r="AA900" s="24">
        <f t="shared" si="188"/>
        <v>0</v>
      </c>
      <c r="AB900" s="24">
        <f t="shared" si="189"/>
        <v>0</v>
      </c>
      <c r="AD900" s="39">
        <v>15</v>
      </c>
      <c r="AE900" s="39">
        <f>G900*1</f>
        <v>0</v>
      </c>
      <c r="AF900" s="39">
        <f>G900*(1-1)</f>
        <v>0</v>
      </c>
      <c r="AM900" s="39">
        <f t="shared" si="190"/>
        <v>0</v>
      </c>
      <c r="AN900" s="39">
        <f t="shared" si="191"/>
        <v>0</v>
      </c>
      <c r="AO900" s="40" t="s">
        <v>1541</v>
      </c>
      <c r="AP900" s="40" t="s">
        <v>1596</v>
      </c>
      <c r="AQ900" s="31" t="s">
        <v>1611</v>
      </c>
    </row>
    <row r="901" spans="1:37" ht="12.75">
      <c r="A901" s="4"/>
      <c r="B901" s="14" t="s">
        <v>592</v>
      </c>
      <c r="C901" s="14" t="s">
        <v>606</v>
      </c>
      <c r="D901" s="104" t="s">
        <v>978</v>
      </c>
      <c r="E901" s="105"/>
      <c r="F901" s="105"/>
      <c r="G901" s="105"/>
      <c r="H901" s="42">
        <f>SUM(H902:H904)</f>
        <v>0</v>
      </c>
      <c r="I901" s="42">
        <f>SUM(I902:I904)</f>
        <v>0</v>
      </c>
      <c r="J901" s="42">
        <f>H901+I901</f>
        <v>0</v>
      </c>
      <c r="K901" s="31"/>
      <c r="L901" s="42">
        <f>SUM(L902:L904)</f>
        <v>2.52</v>
      </c>
      <c r="M901" s="31"/>
      <c r="P901" s="42">
        <f>IF(Q901="PR",J901,SUM(O902:O904))</f>
        <v>0</v>
      </c>
      <c r="Q901" s="31" t="s">
        <v>1530</v>
      </c>
      <c r="R901" s="42">
        <f>IF(Q901="HS",H901,0)</f>
        <v>0</v>
      </c>
      <c r="S901" s="42">
        <f>IF(Q901="HS",I901-P901,0)</f>
        <v>0</v>
      </c>
      <c r="T901" s="42">
        <f>IF(Q901="PS",H901,0)</f>
        <v>0</v>
      </c>
      <c r="U901" s="42">
        <f>IF(Q901="PS",I901-P901,0)</f>
        <v>0</v>
      </c>
      <c r="V901" s="42">
        <f>IF(Q901="MP",H901,0)</f>
        <v>0</v>
      </c>
      <c r="W901" s="42">
        <f>IF(Q901="MP",I901-P901,0)</f>
        <v>0</v>
      </c>
      <c r="X901" s="42">
        <f>IF(Q901="OM",H901,0)</f>
        <v>0</v>
      </c>
      <c r="Y901" s="31" t="s">
        <v>592</v>
      </c>
      <c r="AI901" s="42">
        <f>SUM(Z902:Z904)</f>
        <v>0</v>
      </c>
      <c r="AJ901" s="42">
        <f>SUM(AA902:AA904)</f>
        <v>0</v>
      </c>
      <c r="AK901" s="42">
        <f>SUM(AB902:AB904)</f>
        <v>0</v>
      </c>
    </row>
    <row r="902" spans="1:43" ht="12.75">
      <c r="A902" s="5" t="s">
        <v>529</v>
      </c>
      <c r="B902" s="5" t="s">
        <v>592</v>
      </c>
      <c r="C902" s="5" t="s">
        <v>895</v>
      </c>
      <c r="D902" s="5" t="s">
        <v>1398</v>
      </c>
      <c r="E902" s="5" t="s">
        <v>1493</v>
      </c>
      <c r="F902" s="22">
        <v>225</v>
      </c>
      <c r="G902" s="22">
        <v>0</v>
      </c>
      <c r="H902" s="22">
        <f>F902*AE902</f>
        <v>0</v>
      </c>
      <c r="I902" s="22">
        <f>J902-H902</f>
        <v>0</v>
      </c>
      <c r="J902" s="22">
        <f>F902*G902</f>
        <v>0</v>
      </c>
      <c r="K902" s="22">
        <v>0</v>
      </c>
      <c r="L902" s="22">
        <f>F902*K902</f>
        <v>0</v>
      </c>
      <c r="M902" s="35" t="s">
        <v>1523</v>
      </c>
      <c r="N902" s="35" t="s">
        <v>7</v>
      </c>
      <c r="O902" s="22">
        <f>IF(N902="5",I902,0)</f>
        <v>0</v>
      </c>
      <c r="Z902" s="22">
        <f>IF(AD902=0,J902,0)</f>
        <v>0</v>
      </c>
      <c r="AA902" s="22">
        <f>IF(AD902=15,J902,0)</f>
        <v>0</v>
      </c>
      <c r="AB902" s="22">
        <f>IF(AD902=21,J902,0)</f>
        <v>0</v>
      </c>
      <c r="AD902" s="39">
        <v>15</v>
      </c>
      <c r="AE902" s="39">
        <f>G902*0</f>
        <v>0</v>
      </c>
      <c r="AF902" s="39">
        <f>G902*(1-0)</f>
        <v>0</v>
      </c>
      <c r="AM902" s="39">
        <f>F902*AE902</f>
        <v>0</v>
      </c>
      <c r="AN902" s="39">
        <f>F902*AF902</f>
        <v>0</v>
      </c>
      <c r="AO902" s="40" t="s">
        <v>1542</v>
      </c>
      <c r="AP902" s="40" t="s">
        <v>1597</v>
      </c>
      <c r="AQ902" s="31" t="s">
        <v>1611</v>
      </c>
    </row>
    <row r="903" ht="12.75">
      <c r="D903" s="18" t="s">
        <v>1399</v>
      </c>
    </row>
    <row r="904" spans="1:43" ht="12.75">
      <c r="A904" s="6" t="s">
        <v>530</v>
      </c>
      <c r="B904" s="6" t="s">
        <v>592</v>
      </c>
      <c r="C904" s="6" t="s">
        <v>896</v>
      </c>
      <c r="D904" s="6" t="s">
        <v>1400</v>
      </c>
      <c r="E904" s="6" t="s">
        <v>1493</v>
      </c>
      <c r="F904" s="24">
        <v>450</v>
      </c>
      <c r="G904" s="24">
        <v>0</v>
      </c>
      <c r="H904" s="24">
        <f>F904*AE904</f>
        <v>0</v>
      </c>
      <c r="I904" s="24">
        <f>J904-H904</f>
        <v>0</v>
      </c>
      <c r="J904" s="24">
        <f>F904*G904</f>
        <v>0</v>
      </c>
      <c r="K904" s="24">
        <v>0.0056</v>
      </c>
      <c r="L904" s="24">
        <f>F904*K904</f>
        <v>2.52</v>
      </c>
      <c r="M904" s="36" t="s">
        <v>1523</v>
      </c>
      <c r="N904" s="36" t="s">
        <v>1526</v>
      </c>
      <c r="O904" s="24">
        <f>IF(N904="5",I904,0)</f>
        <v>0</v>
      </c>
      <c r="Z904" s="24">
        <f>IF(AD904=0,J904,0)</f>
        <v>0</v>
      </c>
      <c r="AA904" s="24">
        <f>IF(AD904=15,J904,0)</f>
        <v>0</v>
      </c>
      <c r="AB904" s="24">
        <f>IF(AD904=21,J904,0)</f>
        <v>0</v>
      </c>
      <c r="AD904" s="39">
        <v>15</v>
      </c>
      <c r="AE904" s="39">
        <f>G904*1</f>
        <v>0</v>
      </c>
      <c r="AF904" s="39">
        <f>G904*(1-1)</f>
        <v>0</v>
      </c>
      <c r="AM904" s="39">
        <f>F904*AE904</f>
        <v>0</v>
      </c>
      <c r="AN904" s="39">
        <f>F904*AF904</f>
        <v>0</v>
      </c>
      <c r="AO904" s="40" t="s">
        <v>1542</v>
      </c>
      <c r="AP904" s="40" t="s">
        <v>1597</v>
      </c>
      <c r="AQ904" s="31" t="s">
        <v>1611</v>
      </c>
    </row>
    <row r="905" spans="4:6" ht="10.5" customHeight="1">
      <c r="D905" s="17" t="s">
        <v>1401</v>
      </c>
      <c r="F905" s="23">
        <v>450</v>
      </c>
    </row>
    <row r="906" spans="1:37" ht="12.75">
      <c r="A906" s="4"/>
      <c r="B906" s="14" t="s">
        <v>592</v>
      </c>
      <c r="C906" s="14" t="s">
        <v>897</v>
      </c>
      <c r="D906" s="104" t="s">
        <v>1402</v>
      </c>
      <c r="E906" s="105"/>
      <c r="F906" s="105"/>
      <c r="G906" s="105"/>
      <c r="H906" s="42">
        <f>SUM(H907:H909)</f>
        <v>0</v>
      </c>
      <c r="I906" s="42">
        <f>SUM(I907:I909)</f>
        <v>0</v>
      </c>
      <c r="J906" s="42">
        <f>H906+I906</f>
        <v>0</v>
      </c>
      <c r="K906" s="31"/>
      <c r="L906" s="42">
        <f>SUM(L907:L909)</f>
        <v>1.3566175</v>
      </c>
      <c r="M906" s="31"/>
      <c r="P906" s="42">
        <f>IF(Q906="PR",J906,SUM(O907:O909))</f>
        <v>0</v>
      </c>
      <c r="Q906" s="31" t="s">
        <v>1530</v>
      </c>
      <c r="R906" s="42">
        <f>IF(Q906="HS",H906,0)</f>
        <v>0</v>
      </c>
      <c r="S906" s="42">
        <f>IF(Q906="HS",I906-P906,0)</f>
        <v>0</v>
      </c>
      <c r="T906" s="42">
        <f>IF(Q906="PS",H906,0)</f>
        <v>0</v>
      </c>
      <c r="U906" s="42">
        <f>IF(Q906="PS",I906-P906,0)</f>
        <v>0</v>
      </c>
      <c r="V906" s="42">
        <f>IF(Q906="MP",H906,0)</f>
        <v>0</v>
      </c>
      <c r="W906" s="42">
        <f>IF(Q906="MP",I906-P906,0)</f>
        <v>0</v>
      </c>
      <c r="X906" s="42">
        <f>IF(Q906="OM",H906,0)</f>
        <v>0</v>
      </c>
      <c r="Y906" s="31" t="s">
        <v>592</v>
      </c>
      <c r="AI906" s="42">
        <f>SUM(Z907:Z909)</f>
        <v>0</v>
      </c>
      <c r="AJ906" s="42">
        <f>SUM(AA907:AA909)</f>
        <v>0</v>
      </c>
      <c r="AK906" s="42">
        <f>SUM(AB907:AB909)</f>
        <v>0</v>
      </c>
    </row>
    <row r="907" spans="1:43" ht="12.75">
      <c r="A907" s="5" t="s">
        <v>531</v>
      </c>
      <c r="B907" s="5" t="s">
        <v>592</v>
      </c>
      <c r="C907" s="5" t="s">
        <v>898</v>
      </c>
      <c r="D907" s="5" t="s">
        <v>1403</v>
      </c>
      <c r="E907" s="5" t="s">
        <v>1495</v>
      </c>
      <c r="F907" s="22">
        <v>20</v>
      </c>
      <c r="G907" s="22">
        <v>0</v>
      </c>
      <c r="H907" s="22">
        <f>F907*AE907</f>
        <v>0</v>
      </c>
      <c r="I907" s="22">
        <f>J907-H907</f>
        <v>0</v>
      </c>
      <c r="J907" s="22">
        <f>F907*G907</f>
        <v>0</v>
      </c>
      <c r="K907" s="22">
        <v>0.01025</v>
      </c>
      <c r="L907" s="22">
        <f>F907*K907</f>
        <v>0.20500000000000002</v>
      </c>
      <c r="M907" s="35" t="s">
        <v>1523</v>
      </c>
      <c r="N907" s="35" t="s">
        <v>7</v>
      </c>
      <c r="O907" s="22">
        <f>IF(N907="5",I907,0)</f>
        <v>0</v>
      </c>
      <c r="Z907" s="22">
        <f>IF(AD907=0,J907,0)</f>
        <v>0</v>
      </c>
      <c r="AA907" s="22">
        <f>IF(AD907=15,J907,0)</f>
        <v>0</v>
      </c>
      <c r="AB907" s="22">
        <f>IF(AD907=21,J907,0)</f>
        <v>0</v>
      </c>
      <c r="AD907" s="39">
        <v>15</v>
      </c>
      <c r="AE907" s="39">
        <f>G907*0.443</f>
        <v>0</v>
      </c>
      <c r="AF907" s="39">
        <f>G907*(1-0.443)</f>
        <v>0</v>
      </c>
      <c r="AM907" s="39">
        <f>F907*AE907</f>
        <v>0</v>
      </c>
      <c r="AN907" s="39">
        <f>F907*AF907</f>
        <v>0</v>
      </c>
      <c r="AO907" s="40" t="s">
        <v>1591</v>
      </c>
      <c r="AP907" s="40" t="s">
        <v>1599</v>
      </c>
      <c r="AQ907" s="31" t="s">
        <v>1611</v>
      </c>
    </row>
    <row r="908" ht="12.75">
      <c r="D908" s="18" t="s">
        <v>1404</v>
      </c>
    </row>
    <row r="909" spans="1:43" ht="12.75">
      <c r="A909" s="5" t="s">
        <v>532</v>
      </c>
      <c r="B909" s="5" t="s">
        <v>592</v>
      </c>
      <c r="C909" s="5" t="s">
        <v>899</v>
      </c>
      <c r="D909" s="5" t="s">
        <v>1405</v>
      </c>
      <c r="E909" s="5" t="s">
        <v>1493</v>
      </c>
      <c r="F909" s="22">
        <v>272.25</v>
      </c>
      <c r="G909" s="22">
        <v>0</v>
      </c>
      <c r="H909" s="22">
        <f>F909*AE909</f>
        <v>0</v>
      </c>
      <c r="I909" s="22">
        <f>J909-H909</f>
        <v>0</v>
      </c>
      <c r="J909" s="22">
        <f>F909*G909</f>
        <v>0</v>
      </c>
      <c r="K909" s="22">
        <v>0.00423</v>
      </c>
      <c r="L909" s="22">
        <f>F909*K909</f>
        <v>1.1516175</v>
      </c>
      <c r="M909" s="35" t="s">
        <v>1523</v>
      </c>
      <c r="N909" s="35" t="s">
        <v>9</v>
      </c>
      <c r="O909" s="22">
        <f>IF(N909="5",I909,0)</f>
        <v>0</v>
      </c>
      <c r="Z909" s="22">
        <f>IF(AD909=0,J909,0)</f>
        <v>0</v>
      </c>
      <c r="AA909" s="22">
        <f>IF(AD909=15,J909,0)</f>
        <v>0</v>
      </c>
      <c r="AB909" s="22">
        <f>IF(AD909=21,J909,0)</f>
        <v>0</v>
      </c>
      <c r="AD909" s="39">
        <v>15</v>
      </c>
      <c r="AE909" s="39">
        <f>G909*0.412213164251208</f>
        <v>0</v>
      </c>
      <c r="AF909" s="39">
        <f>G909*(1-0.412213164251208)</f>
        <v>0</v>
      </c>
      <c r="AM909" s="39">
        <f>F909*AE909</f>
        <v>0</v>
      </c>
      <c r="AN909" s="39">
        <f>F909*AF909</f>
        <v>0</v>
      </c>
      <c r="AO909" s="40" t="s">
        <v>1591</v>
      </c>
      <c r="AP909" s="40" t="s">
        <v>1599</v>
      </c>
      <c r="AQ909" s="31" t="s">
        <v>1611</v>
      </c>
    </row>
    <row r="910" ht="12.75">
      <c r="D910" s="18" t="s">
        <v>1406</v>
      </c>
    </row>
    <row r="911" spans="1:37" ht="12.75">
      <c r="A911" s="4"/>
      <c r="B911" s="14" t="s">
        <v>592</v>
      </c>
      <c r="C911" s="14" t="s">
        <v>900</v>
      </c>
      <c r="D911" s="104" t="s">
        <v>1407</v>
      </c>
      <c r="E911" s="105"/>
      <c r="F911" s="105"/>
      <c r="G911" s="105"/>
      <c r="H911" s="42">
        <f>SUM(H912:H954)</f>
        <v>0</v>
      </c>
      <c r="I911" s="42">
        <f>SUM(I912:I954)</f>
        <v>0</v>
      </c>
      <c r="J911" s="42">
        <f>H911+I911</f>
        <v>0</v>
      </c>
      <c r="K911" s="31"/>
      <c r="L911" s="42">
        <f>SUM(L912:L954)</f>
        <v>4.18150538</v>
      </c>
      <c r="M911" s="31"/>
      <c r="P911" s="42">
        <f>IF(Q911="PR",J911,SUM(O912:O954))</f>
        <v>0</v>
      </c>
      <c r="Q911" s="31" t="s">
        <v>1530</v>
      </c>
      <c r="R911" s="42">
        <f>IF(Q911="HS",H911,0)</f>
        <v>0</v>
      </c>
      <c r="S911" s="42">
        <f>IF(Q911="HS",I911-P911,0)</f>
        <v>0</v>
      </c>
      <c r="T911" s="42">
        <f>IF(Q911="PS",H911,0)</f>
        <v>0</v>
      </c>
      <c r="U911" s="42">
        <f>IF(Q911="PS",I911-P911,0)</f>
        <v>0</v>
      </c>
      <c r="V911" s="42">
        <f>IF(Q911="MP",H911,0)</f>
        <v>0</v>
      </c>
      <c r="W911" s="42">
        <f>IF(Q911="MP",I911-P911,0)</f>
        <v>0</v>
      </c>
      <c r="X911" s="42">
        <f>IF(Q911="OM",H911,0)</f>
        <v>0</v>
      </c>
      <c r="Y911" s="31" t="s">
        <v>592</v>
      </c>
      <c r="AI911" s="42">
        <f>SUM(Z912:Z954)</f>
        <v>0</v>
      </c>
      <c r="AJ911" s="42">
        <f>SUM(AA912:AA954)</f>
        <v>0</v>
      </c>
      <c r="AK911" s="42">
        <f>SUM(AB912:AB954)</f>
        <v>0</v>
      </c>
    </row>
    <row r="912" spans="1:43" ht="12.75">
      <c r="A912" s="5" t="s">
        <v>533</v>
      </c>
      <c r="B912" s="5" t="s">
        <v>592</v>
      </c>
      <c r="C912" s="5" t="s">
        <v>901</v>
      </c>
      <c r="D912" s="5" t="s">
        <v>1408</v>
      </c>
      <c r="E912" s="5" t="s">
        <v>1493</v>
      </c>
      <c r="F912" s="22">
        <v>272.25</v>
      </c>
      <c r="G912" s="22">
        <v>0</v>
      </c>
      <c r="H912" s="22">
        <f>F912*AE912</f>
        <v>0</v>
      </c>
      <c r="I912" s="22">
        <f>J912-H912</f>
        <v>0</v>
      </c>
      <c r="J912" s="22">
        <f>F912*G912</f>
        <v>0</v>
      </c>
      <c r="K912" s="22">
        <v>0.00732</v>
      </c>
      <c r="L912" s="22">
        <f>F912*K912</f>
        <v>1.9928700000000001</v>
      </c>
      <c r="M912" s="35" t="s">
        <v>1523</v>
      </c>
      <c r="N912" s="35" t="s">
        <v>9</v>
      </c>
      <c r="O912" s="22">
        <f>IF(N912="5",I912,0)</f>
        <v>0</v>
      </c>
      <c r="Z912" s="22">
        <f>IF(AD912=0,J912,0)</f>
        <v>0</v>
      </c>
      <c r="AA912" s="22">
        <f>IF(AD912=15,J912,0)</f>
        <v>0</v>
      </c>
      <c r="AB912" s="22">
        <f>IF(AD912=21,J912,0)</f>
        <v>0</v>
      </c>
      <c r="AD912" s="39">
        <v>15</v>
      </c>
      <c r="AE912" s="39">
        <f>G912*0</f>
        <v>0</v>
      </c>
      <c r="AF912" s="39">
        <f>G912*(1-0)</f>
        <v>0</v>
      </c>
      <c r="AM912" s="39">
        <f>F912*AE912</f>
        <v>0</v>
      </c>
      <c r="AN912" s="39">
        <f>F912*AF912</f>
        <v>0</v>
      </c>
      <c r="AO912" s="40" t="s">
        <v>1592</v>
      </c>
      <c r="AP912" s="40" t="s">
        <v>1599</v>
      </c>
      <c r="AQ912" s="31" t="s">
        <v>1611</v>
      </c>
    </row>
    <row r="913" ht="12.75">
      <c r="D913" s="18" t="s">
        <v>1409</v>
      </c>
    </row>
    <row r="914" spans="4:6" ht="10.5" customHeight="1">
      <c r="D914" s="17" t="s">
        <v>1410</v>
      </c>
      <c r="F914" s="23">
        <v>272.25</v>
      </c>
    </row>
    <row r="915" spans="1:43" ht="12.75">
      <c r="A915" s="5" t="s">
        <v>534</v>
      </c>
      <c r="B915" s="5" t="s">
        <v>592</v>
      </c>
      <c r="C915" s="5" t="s">
        <v>902</v>
      </c>
      <c r="D915" s="5" t="s">
        <v>1411</v>
      </c>
      <c r="E915" s="5" t="s">
        <v>1495</v>
      </c>
      <c r="F915" s="22">
        <v>22.5</v>
      </c>
      <c r="G915" s="22">
        <v>0</v>
      </c>
      <c r="H915" s="22">
        <f>F915*AE915</f>
        <v>0</v>
      </c>
      <c r="I915" s="22">
        <f>J915-H915</f>
        <v>0</v>
      </c>
      <c r="J915" s="22">
        <f>F915*G915</f>
        <v>0</v>
      </c>
      <c r="K915" s="22">
        <v>0.0014</v>
      </c>
      <c r="L915" s="22">
        <f>F915*K915</f>
        <v>0.0315</v>
      </c>
      <c r="M915" s="35" t="s">
        <v>1523</v>
      </c>
      <c r="N915" s="35" t="s">
        <v>9</v>
      </c>
      <c r="O915" s="22">
        <f>IF(N915="5",I915,0)</f>
        <v>0</v>
      </c>
      <c r="Z915" s="22">
        <f>IF(AD915=0,J915,0)</f>
        <v>0</v>
      </c>
      <c r="AA915" s="22">
        <f>IF(AD915=15,J915,0)</f>
        <v>0</v>
      </c>
      <c r="AB915" s="22">
        <f>IF(AD915=21,J915,0)</f>
        <v>0</v>
      </c>
      <c r="AD915" s="39">
        <v>15</v>
      </c>
      <c r="AE915" s="39">
        <f>G915*0.914403833505591</f>
        <v>0</v>
      </c>
      <c r="AF915" s="39">
        <f>G915*(1-0.914403833505591)</f>
        <v>0</v>
      </c>
      <c r="AM915" s="39">
        <f>F915*AE915</f>
        <v>0</v>
      </c>
      <c r="AN915" s="39">
        <f>F915*AF915</f>
        <v>0</v>
      </c>
      <c r="AO915" s="40" t="s">
        <v>1592</v>
      </c>
      <c r="AP915" s="40" t="s">
        <v>1599</v>
      </c>
      <c r="AQ915" s="31" t="s">
        <v>1611</v>
      </c>
    </row>
    <row r="916" spans="1:43" ht="12.75">
      <c r="A916" s="5" t="s">
        <v>535</v>
      </c>
      <c r="B916" s="5" t="s">
        <v>592</v>
      </c>
      <c r="C916" s="5" t="s">
        <v>903</v>
      </c>
      <c r="D916" s="5" t="s">
        <v>1412</v>
      </c>
      <c r="E916" s="5" t="s">
        <v>1494</v>
      </c>
      <c r="F916" s="22">
        <v>4</v>
      </c>
      <c r="G916" s="22">
        <v>0</v>
      </c>
      <c r="H916" s="22">
        <f>F916*AE916</f>
        <v>0</v>
      </c>
      <c r="I916" s="22">
        <f>J916-H916</f>
        <v>0</v>
      </c>
      <c r="J916" s="22">
        <f>F916*G916</f>
        <v>0</v>
      </c>
      <c r="K916" s="22">
        <v>0.0004</v>
      </c>
      <c r="L916" s="22">
        <f>F916*K916</f>
        <v>0.0016</v>
      </c>
      <c r="M916" s="35" t="s">
        <v>1523</v>
      </c>
      <c r="N916" s="35" t="s">
        <v>7</v>
      </c>
      <c r="O916" s="22">
        <f>IF(N916="5",I916,0)</f>
        <v>0</v>
      </c>
      <c r="Z916" s="22">
        <f>IF(AD916=0,J916,0)</f>
        <v>0</v>
      </c>
      <c r="AA916" s="22">
        <f>IF(AD916=15,J916,0)</f>
        <v>0</v>
      </c>
      <c r="AB916" s="22">
        <f>IF(AD916=21,J916,0)</f>
        <v>0</v>
      </c>
      <c r="AD916" s="39">
        <v>15</v>
      </c>
      <c r="AE916" s="39">
        <f>G916*0.596975228161669</f>
        <v>0</v>
      </c>
      <c r="AF916" s="39">
        <f>G916*(1-0.596975228161669)</f>
        <v>0</v>
      </c>
      <c r="AM916" s="39">
        <f>F916*AE916</f>
        <v>0</v>
      </c>
      <c r="AN916" s="39">
        <f>F916*AF916</f>
        <v>0</v>
      </c>
      <c r="AO916" s="40" t="s">
        <v>1592</v>
      </c>
      <c r="AP916" s="40" t="s">
        <v>1599</v>
      </c>
      <c r="AQ916" s="31" t="s">
        <v>1611</v>
      </c>
    </row>
    <row r="917" spans="1:43" ht="12.75">
      <c r="A917" s="5" t="s">
        <v>536</v>
      </c>
      <c r="B917" s="5" t="s">
        <v>592</v>
      </c>
      <c r="C917" s="5" t="s">
        <v>904</v>
      </c>
      <c r="D917" s="5" t="s">
        <v>1413</v>
      </c>
      <c r="E917" s="5" t="s">
        <v>1495</v>
      </c>
      <c r="F917" s="22">
        <v>33.6</v>
      </c>
      <c r="G917" s="22">
        <v>0</v>
      </c>
      <c r="H917" s="22">
        <f>F917*AE917</f>
        <v>0</v>
      </c>
      <c r="I917" s="22">
        <f>J917-H917</f>
        <v>0</v>
      </c>
      <c r="J917" s="22">
        <f>F917*G917</f>
        <v>0</v>
      </c>
      <c r="K917" s="22">
        <v>0.00312</v>
      </c>
      <c r="L917" s="22">
        <f>F917*K917</f>
        <v>0.10483200000000001</v>
      </c>
      <c r="M917" s="35" t="s">
        <v>1523</v>
      </c>
      <c r="N917" s="35" t="s">
        <v>7</v>
      </c>
      <c r="O917" s="22">
        <f>IF(N917="5",I917,0)</f>
        <v>0</v>
      </c>
      <c r="Z917" s="22">
        <f>IF(AD917=0,J917,0)</f>
        <v>0</v>
      </c>
      <c r="AA917" s="22">
        <f>IF(AD917=15,J917,0)</f>
        <v>0</v>
      </c>
      <c r="AB917" s="22">
        <f>IF(AD917=21,J917,0)</f>
        <v>0</v>
      </c>
      <c r="AD917" s="39">
        <v>15</v>
      </c>
      <c r="AE917" s="39">
        <f>G917*0.826669528971896</f>
        <v>0</v>
      </c>
      <c r="AF917" s="39">
        <f>G917*(1-0.826669528971896)</f>
        <v>0</v>
      </c>
      <c r="AM917" s="39">
        <f>F917*AE917</f>
        <v>0</v>
      </c>
      <c r="AN917" s="39">
        <f>F917*AF917</f>
        <v>0</v>
      </c>
      <c r="AO917" s="40" t="s">
        <v>1592</v>
      </c>
      <c r="AP917" s="40" t="s">
        <v>1599</v>
      </c>
      <c r="AQ917" s="31" t="s">
        <v>1611</v>
      </c>
    </row>
    <row r="918" spans="4:6" ht="10.5" customHeight="1">
      <c r="D918" s="17" t="s">
        <v>1414</v>
      </c>
      <c r="F918" s="23">
        <v>33.6</v>
      </c>
    </row>
    <row r="919" spans="1:43" ht="12.75">
      <c r="A919" s="5" t="s">
        <v>537</v>
      </c>
      <c r="B919" s="5" t="s">
        <v>592</v>
      </c>
      <c r="C919" s="5" t="s">
        <v>905</v>
      </c>
      <c r="D919" s="5" t="s">
        <v>1415</v>
      </c>
      <c r="E919" s="5" t="s">
        <v>1495</v>
      </c>
      <c r="F919" s="22">
        <v>24.2</v>
      </c>
      <c r="G919" s="22">
        <v>0</v>
      </c>
      <c r="H919" s="22">
        <f>F919*AE919</f>
        <v>0</v>
      </c>
      <c r="I919" s="22">
        <f>J919-H919</f>
        <v>0</v>
      </c>
      <c r="J919" s="22">
        <f>F919*G919</f>
        <v>0</v>
      </c>
      <c r="K919" s="22">
        <v>0.00128</v>
      </c>
      <c r="L919" s="22">
        <f>F919*K919</f>
        <v>0.030976</v>
      </c>
      <c r="M919" s="35" t="s">
        <v>1523</v>
      </c>
      <c r="N919" s="35" t="s">
        <v>7</v>
      </c>
      <c r="O919" s="22">
        <f>IF(N919="5",I919,0)</f>
        <v>0</v>
      </c>
      <c r="Z919" s="22">
        <f>IF(AD919=0,J919,0)</f>
        <v>0</v>
      </c>
      <c r="AA919" s="22">
        <f>IF(AD919=15,J919,0)</f>
        <v>0</v>
      </c>
      <c r="AB919" s="22">
        <f>IF(AD919=21,J919,0)</f>
        <v>0</v>
      </c>
      <c r="AD919" s="39">
        <v>15</v>
      </c>
      <c r="AE919" s="39">
        <f>G919*0.730682852807284</f>
        <v>0</v>
      </c>
      <c r="AF919" s="39">
        <f>G919*(1-0.730682852807284)</f>
        <v>0</v>
      </c>
      <c r="AM919" s="39">
        <f>F919*AE919</f>
        <v>0</v>
      </c>
      <c r="AN919" s="39">
        <f>F919*AF919</f>
        <v>0</v>
      </c>
      <c r="AO919" s="40" t="s">
        <v>1592</v>
      </c>
      <c r="AP919" s="40" t="s">
        <v>1599</v>
      </c>
      <c r="AQ919" s="31" t="s">
        <v>1611</v>
      </c>
    </row>
    <row r="920" spans="4:6" ht="10.5" customHeight="1">
      <c r="D920" s="17" t="s">
        <v>1416</v>
      </c>
      <c r="F920" s="23">
        <v>24.2</v>
      </c>
    </row>
    <row r="921" spans="1:43" ht="12.75">
      <c r="A921" s="5" t="s">
        <v>538</v>
      </c>
      <c r="B921" s="5" t="s">
        <v>592</v>
      </c>
      <c r="C921" s="5" t="s">
        <v>906</v>
      </c>
      <c r="D921" s="5" t="s">
        <v>1417</v>
      </c>
      <c r="E921" s="5" t="s">
        <v>1495</v>
      </c>
      <c r="F921" s="22">
        <v>44</v>
      </c>
      <c r="G921" s="22">
        <v>0</v>
      </c>
      <c r="H921" s="22">
        <f>F921*AE921</f>
        <v>0</v>
      </c>
      <c r="I921" s="22">
        <f>J921-H921</f>
        <v>0</v>
      </c>
      <c r="J921" s="22">
        <f>F921*G921</f>
        <v>0</v>
      </c>
      <c r="K921" s="22">
        <v>0.00225</v>
      </c>
      <c r="L921" s="22">
        <f>F921*K921</f>
        <v>0.09899999999999999</v>
      </c>
      <c r="M921" s="35" t="s">
        <v>1523</v>
      </c>
      <c r="N921" s="35" t="s">
        <v>7</v>
      </c>
      <c r="O921" s="22">
        <f>IF(N921="5",I921,0)</f>
        <v>0</v>
      </c>
      <c r="Z921" s="22">
        <f>IF(AD921=0,J921,0)</f>
        <v>0</v>
      </c>
      <c r="AA921" s="22">
        <f>IF(AD921=15,J921,0)</f>
        <v>0</v>
      </c>
      <c r="AB921" s="22">
        <f>IF(AD921=21,J921,0)</f>
        <v>0</v>
      </c>
      <c r="AD921" s="39">
        <v>15</v>
      </c>
      <c r="AE921" s="39">
        <f>G921*0.714233468193559</f>
        <v>0</v>
      </c>
      <c r="AF921" s="39">
        <f>G921*(1-0.714233468193559)</f>
        <v>0</v>
      </c>
      <c r="AM921" s="39">
        <f>F921*AE921</f>
        <v>0</v>
      </c>
      <c r="AN921" s="39">
        <f>F921*AF921</f>
        <v>0</v>
      </c>
      <c r="AO921" s="40" t="s">
        <v>1592</v>
      </c>
      <c r="AP921" s="40" t="s">
        <v>1599</v>
      </c>
      <c r="AQ921" s="31" t="s">
        <v>1611</v>
      </c>
    </row>
    <row r="922" spans="1:43" ht="12.75">
      <c r="A922" s="5" t="s">
        <v>539</v>
      </c>
      <c r="B922" s="5" t="s">
        <v>592</v>
      </c>
      <c r="C922" s="5" t="s">
        <v>907</v>
      </c>
      <c r="D922" s="5" t="s">
        <v>1418</v>
      </c>
      <c r="E922" s="5" t="s">
        <v>1493</v>
      </c>
      <c r="F922" s="22">
        <v>299.475</v>
      </c>
      <c r="G922" s="22">
        <v>0</v>
      </c>
      <c r="H922" s="22">
        <f>F922*AE922</f>
        <v>0</v>
      </c>
      <c r="I922" s="22">
        <f>J922-H922</f>
        <v>0</v>
      </c>
      <c r="J922" s="22">
        <f>F922*G922</f>
        <v>0</v>
      </c>
      <c r="K922" s="22">
        <v>9E-05</v>
      </c>
      <c r="L922" s="22">
        <f>F922*K922</f>
        <v>0.026952750000000004</v>
      </c>
      <c r="M922" s="35" t="s">
        <v>1523</v>
      </c>
      <c r="N922" s="35" t="s">
        <v>7</v>
      </c>
      <c r="O922" s="22">
        <f>IF(N922="5",I922,0)</f>
        <v>0</v>
      </c>
      <c r="Z922" s="22">
        <f>IF(AD922=0,J922,0)</f>
        <v>0</v>
      </c>
      <c r="AA922" s="22">
        <f>IF(AD922=15,J922,0)</f>
        <v>0</v>
      </c>
      <c r="AB922" s="22">
        <f>IF(AD922=21,J922,0)</f>
        <v>0</v>
      </c>
      <c r="AD922" s="39">
        <v>15</v>
      </c>
      <c r="AE922" s="39">
        <f>G922*0.675070028011204</f>
        <v>0</v>
      </c>
      <c r="AF922" s="39">
        <f>G922*(1-0.675070028011204)</f>
        <v>0</v>
      </c>
      <c r="AM922" s="39">
        <f>F922*AE922</f>
        <v>0</v>
      </c>
      <c r="AN922" s="39">
        <f>F922*AF922</f>
        <v>0</v>
      </c>
      <c r="AO922" s="40" t="s">
        <v>1592</v>
      </c>
      <c r="AP922" s="40" t="s">
        <v>1599</v>
      </c>
      <c r="AQ922" s="31" t="s">
        <v>1611</v>
      </c>
    </row>
    <row r="923" spans="4:6" ht="10.5" customHeight="1">
      <c r="D923" s="17" t="s">
        <v>1419</v>
      </c>
      <c r="F923" s="23">
        <v>299.475</v>
      </c>
    </row>
    <row r="924" spans="1:43" ht="12.75">
      <c r="A924" s="5" t="s">
        <v>540</v>
      </c>
      <c r="B924" s="5" t="s">
        <v>592</v>
      </c>
      <c r="C924" s="5" t="s">
        <v>908</v>
      </c>
      <c r="D924" s="5" t="s">
        <v>1420</v>
      </c>
      <c r="E924" s="5" t="s">
        <v>1495</v>
      </c>
      <c r="F924" s="22">
        <v>44.1</v>
      </c>
      <c r="G924" s="22">
        <v>0</v>
      </c>
      <c r="H924" s="22">
        <f>F924*AE924</f>
        <v>0</v>
      </c>
      <c r="I924" s="22">
        <f>J924-H924</f>
        <v>0</v>
      </c>
      <c r="J924" s="22">
        <f>F924*G924</f>
        <v>0</v>
      </c>
      <c r="K924" s="22">
        <v>0.00244</v>
      </c>
      <c r="L924" s="22">
        <f>F924*K924</f>
        <v>0.107604</v>
      </c>
      <c r="M924" s="35" t="s">
        <v>1523</v>
      </c>
      <c r="N924" s="35" t="s">
        <v>7</v>
      </c>
      <c r="O924" s="22">
        <f>IF(N924="5",I924,0)</f>
        <v>0</v>
      </c>
      <c r="Z924" s="22">
        <f>IF(AD924=0,J924,0)</f>
        <v>0</v>
      </c>
      <c r="AA924" s="22">
        <f>IF(AD924=15,J924,0)</f>
        <v>0</v>
      </c>
      <c r="AB924" s="22">
        <f>IF(AD924=21,J924,0)</f>
        <v>0</v>
      </c>
      <c r="AD924" s="39">
        <v>15</v>
      </c>
      <c r="AE924" s="39">
        <f>G924*0.401555118110236</f>
        <v>0</v>
      </c>
      <c r="AF924" s="39">
        <f>G924*(1-0.401555118110236)</f>
        <v>0</v>
      </c>
      <c r="AM924" s="39">
        <f>F924*AE924</f>
        <v>0</v>
      </c>
      <c r="AN924" s="39">
        <f>F924*AF924</f>
        <v>0</v>
      </c>
      <c r="AO924" s="40" t="s">
        <v>1592</v>
      </c>
      <c r="AP924" s="40" t="s">
        <v>1599</v>
      </c>
      <c r="AQ924" s="31" t="s">
        <v>1611</v>
      </c>
    </row>
    <row r="925" spans="4:6" ht="10.5" customHeight="1">
      <c r="D925" s="17" t="s">
        <v>1421</v>
      </c>
      <c r="F925" s="23">
        <v>44.1</v>
      </c>
    </row>
    <row r="926" spans="1:43" ht="12.75">
      <c r="A926" s="5" t="s">
        <v>541</v>
      </c>
      <c r="B926" s="5" t="s">
        <v>592</v>
      </c>
      <c r="C926" s="5" t="s">
        <v>909</v>
      </c>
      <c r="D926" s="5" t="s">
        <v>1422</v>
      </c>
      <c r="E926" s="5" t="s">
        <v>1495</v>
      </c>
      <c r="F926" s="22">
        <v>22.5</v>
      </c>
      <c r="G926" s="22">
        <v>0</v>
      </c>
      <c r="H926" s="22">
        <f>F926*AE926</f>
        <v>0</v>
      </c>
      <c r="I926" s="22">
        <f>J926-H926</f>
        <v>0</v>
      </c>
      <c r="J926" s="22">
        <f>F926*G926</f>
        <v>0</v>
      </c>
      <c r="K926" s="22">
        <v>0</v>
      </c>
      <c r="L926" s="22">
        <f>F926*K926</f>
        <v>0</v>
      </c>
      <c r="M926" s="35" t="s">
        <v>1523</v>
      </c>
      <c r="N926" s="35" t="s">
        <v>7</v>
      </c>
      <c r="O926" s="22">
        <f>IF(N926="5",I926,0)</f>
        <v>0</v>
      </c>
      <c r="Z926" s="22">
        <f>IF(AD926=0,J926,0)</f>
        <v>0</v>
      </c>
      <c r="AA926" s="22">
        <f>IF(AD926=15,J926,0)</f>
        <v>0</v>
      </c>
      <c r="AB926" s="22">
        <f>IF(AD926=21,J926,0)</f>
        <v>0</v>
      </c>
      <c r="AD926" s="39">
        <v>15</v>
      </c>
      <c r="AE926" s="39">
        <f>G926*0.915655577299413</f>
        <v>0</v>
      </c>
      <c r="AF926" s="39">
        <f>G926*(1-0.915655577299413)</f>
        <v>0</v>
      </c>
      <c r="AM926" s="39">
        <f>F926*AE926</f>
        <v>0</v>
      </c>
      <c r="AN926" s="39">
        <f>F926*AF926</f>
        <v>0</v>
      </c>
      <c r="AO926" s="40" t="s">
        <v>1592</v>
      </c>
      <c r="AP926" s="40" t="s">
        <v>1599</v>
      </c>
      <c r="AQ926" s="31" t="s">
        <v>1611</v>
      </c>
    </row>
    <row r="927" spans="1:43" ht="12.75">
      <c r="A927" s="5" t="s">
        <v>542</v>
      </c>
      <c r="B927" s="5" t="s">
        <v>592</v>
      </c>
      <c r="C927" s="5" t="s">
        <v>910</v>
      </c>
      <c r="D927" s="5" t="s">
        <v>1423</v>
      </c>
      <c r="E927" s="5" t="s">
        <v>1495</v>
      </c>
      <c r="F927" s="22">
        <v>45</v>
      </c>
      <c r="G927" s="22">
        <v>0</v>
      </c>
      <c r="H927" s="22">
        <f>F927*AE927</f>
        <v>0</v>
      </c>
      <c r="I927" s="22">
        <f>J927-H927</f>
        <v>0</v>
      </c>
      <c r="J927" s="22">
        <f>F927*G927</f>
        <v>0</v>
      </c>
      <c r="K927" s="22">
        <v>0</v>
      </c>
      <c r="L927" s="22">
        <f>F927*K927</f>
        <v>0</v>
      </c>
      <c r="M927" s="35" t="s">
        <v>1523</v>
      </c>
      <c r="N927" s="35" t="s">
        <v>7</v>
      </c>
      <c r="O927" s="22">
        <f>IF(N927="5",I927,0)</f>
        <v>0</v>
      </c>
      <c r="Z927" s="22">
        <f>IF(AD927=0,J927,0)</f>
        <v>0</v>
      </c>
      <c r="AA927" s="22">
        <f>IF(AD927=15,J927,0)</f>
        <v>0</v>
      </c>
      <c r="AB927" s="22">
        <f>IF(AD927=21,J927,0)</f>
        <v>0</v>
      </c>
      <c r="AD927" s="39">
        <v>15</v>
      </c>
      <c r="AE927" s="39">
        <f>G927*0.241549295774648</f>
        <v>0</v>
      </c>
      <c r="AF927" s="39">
        <f>G927*(1-0.241549295774648)</f>
        <v>0</v>
      </c>
      <c r="AM927" s="39">
        <f>F927*AE927</f>
        <v>0</v>
      </c>
      <c r="AN927" s="39">
        <f>F927*AF927</f>
        <v>0</v>
      </c>
      <c r="AO927" s="40" t="s">
        <v>1592</v>
      </c>
      <c r="AP927" s="40" t="s">
        <v>1599</v>
      </c>
      <c r="AQ927" s="31" t="s">
        <v>1611</v>
      </c>
    </row>
    <row r="928" spans="1:43" ht="12.75">
      <c r="A928" s="5" t="s">
        <v>543</v>
      </c>
      <c r="B928" s="5" t="s">
        <v>592</v>
      </c>
      <c r="C928" s="5" t="s">
        <v>911</v>
      </c>
      <c r="D928" s="5" t="s">
        <v>1424</v>
      </c>
      <c r="E928" s="5" t="s">
        <v>1494</v>
      </c>
      <c r="F928" s="22">
        <v>88</v>
      </c>
      <c r="G928" s="22">
        <v>0</v>
      </c>
      <c r="H928" s="22">
        <f>F928*AE928</f>
        <v>0</v>
      </c>
      <c r="I928" s="22">
        <f>J928-H928</f>
        <v>0</v>
      </c>
      <c r="J928" s="22">
        <f>F928*G928</f>
        <v>0</v>
      </c>
      <c r="K928" s="22">
        <v>0.0001</v>
      </c>
      <c r="L928" s="22">
        <f>F928*K928</f>
        <v>0.0088</v>
      </c>
      <c r="M928" s="35" t="s">
        <v>1523</v>
      </c>
      <c r="N928" s="35" t="s">
        <v>7</v>
      </c>
      <c r="O928" s="22">
        <f>IF(N928="5",I928,0)</f>
        <v>0</v>
      </c>
      <c r="Z928" s="22">
        <f>IF(AD928=0,J928,0)</f>
        <v>0</v>
      </c>
      <c r="AA928" s="22">
        <f>IF(AD928=15,J928,0)</f>
        <v>0</v>
      </c>
      <c r="AB928" s="22">
        <f>IF(AD928=21,J928,0)</f>
        <v>0</v>
      </c>
      <c r="AD928" s="39">
        <v>15</v>
      </c>
      <c r="AE928" s="39">
        <f>G928*0.627235142118863</f>
        <v>0</v>
      </c>
      <c r="AF928" s="39">
        <f>G928*(1-0.627235142118863)</f>
        <v>0</v>
      </c>
      <c r="AM928" s="39">
        <f>F928*AE928</f>
        <v>0</v>
      </c>
      <c r="AN928" s="39">
        <f>F928*AF928</f>
        <v>0</v>
      </c>
      <c r="AO928" s="40" t="s">
        <v>1592</v>
      </c>
      <c r="AP928" s="40" t="s">
        <v>1599</v>
      </c>
      <c r="AQ928" s="31" t="s">
        <v>1611</v>
      </c>
    </row>
    <row r="929" spans="1:43" ht="12.75">
      <c r="A929" s="5" t="s">
        <v>544</v>
      </c>
      <c r="B929" s="5" t="s">
        <v>592</v>
      </c>
      <c r="C929" s="5" t="s">
        <v>912</v>
      </c>
      <c r="D929" s="5" t="s">
        <v>1425</v>
      </c>
      <c r="E929" s="5" t="s">
        <v>1494</v>
      </c>
      <c r="F929" s="22">
        <v>2</v>
      </c>
      <c r="G929" s="22">
        <v>0</v>
      </c>
      <c r="H929" s="22">
        <f>F929*AE929</f>
        <v>0</v>
      </c>
      <c r="I929" s="22">
        <f>J929-H929</f>
        <v>0</v>
      </c>
      <c r="J929" s="22">
        <f>F929*G929</f>
        <v>0</v>
      </c>
      <c r="K929" s="22">
        <v>0.00851</v>
      </c>
      <c r="L929" s="22">
        <f>F929*K929</f>
        <v>0.01702</v>
      </c>
      <c r="M929" s="35" t="s">
        <v>1523</v>
      </c>
      <c r="N929" s="35" t="s">
        <v>7</v>
      </c>
      <c r="O929" s="22">
        <f>IF(N929="5",I929,0)</f>
        <v>0</v>
      </c>
      <c r="Z929" s="22">
        <f>IF(AD929=0,J929,0)</f>
        <v>0</v>
      </c>
      <c r="AA929" s="22">
        <f>IF(AD929=15,J929,0)</f>
        <v>0</v>
      </c>
      <c r="AB929" s="22">
        <f>IF(AD929=21,J929,0)</f>
        <v>0</v>
      </c>
      <c r="AD929" s="39">
        <v>15</v>
      </c>
      <c r="AE929" s="39">
        <f>G929*0.849253384548869</f>
        <v>0</v>
      </c>
      <c r="AF929" s="39">
        <f>G929*(1-0.849253384548869)</f>
        <v>0</v>
      </c>
      <c r="AM929" s="39">
        <f>F929*AE929</f>
        <v>0</v>
      </c>
      <c r="AN929" s="39">
        <f>F929*AF929</f>
        <v>0</v>
      </c>
      <c r="AO929" s="40" t="s">
        <v>1592</v>
      </c>
      <c r="AP929" s="40" t="s">
        <v>1599</v>
      </c>
      <c r="AQ929" s="31" t="s">
        <v>1611</v>
      </c>
    </row>
    <row r="930" spans="1:43" ht="12.75">
      <c r="A930" s="5" t="s">
        <v>545</v>
      </c>
      <c r="B930" s="5" t="s">
        <v>592</v>
      </c>
      <c r="C930" s="5" t="s">
        <v>913</v>
      </c>
      <c r="D930" s="5" t="s">
        <v>1426</v>
      </c>
      <c r="E930" s="5" t="s">
        <v>1493</v>
      </c>
      <c r="F930" s="22">
        <v>272.25</v>
      </c>
      <c r="G930" s="22">
        <v>0</v>
      </c>
      <c r="H930" s="22">
        <f>F930*AE930</f>
        <v>0</v>
      </c>
      <c r="I930" s="22">
        <f>J930-H930</f>
        <v>0</v>
      </c>
      <c r="J930" s="22">
        <f>F930*G930</f>
        <v>0</v>
      </c>
      <c r="K930" s="22">
        <v>0.00441</v>
      </c>
      <c r="L930" s="22">
        <f>F930*K930</f>
        <v>1.2006225</v>
      </c>
      <c r="M930" s="35" t="s">
        <v>1523</v>
      </c>
      <c r="N930" s="35" t="s">
        <v>7</v>
      </c>
      <c r="O930" s="22">
        <f>IF(N930="5",I930,0)</f>
        <v>0</v>
      </c>
      <c r="Z930" s="22">
        <f>IF(AD930=0,J930,0)</f>
        <v>0</v>
      </c>
      <c r="AA930" s="22">
        <f>IF(AD930=15,J930,0)</f>
        <v>0</v>
      </c>
      <c r="AB930" s="22">
        <f>IF(AD930=21,J930,0)</f>
        <v>0</v>
      </c>
      <c r="AD930" s="39">
        <v>15</v>
      </c>
      <c r="AE930" s="39">
        <f>G930*0.453930757050541</f>
        <v>0</v>
      </c>
      <c r="AF930" s="39">
        <f>G930*(1-0.453930757050541)</f>
        <v>0</v>
      </c>
      <c r="AM930" s="39">
        <f>F930*AE930</f>
        <v>0</v>
      </c>
      <c r="AN930" s="39">
        <f>F930*AF930</f>
        <v>0</v>
      </c>
      <c r="AO930" s="40" t="s">
        <v>1592</v>
      </c>
      <c r="AP930" s="40" t="s">
        <v>1599</v>
      </c>
      <c r="AQ930" s="31" t="s">
        <v>1611</v>
      </c>
    </row>
    <row r="931" spans="4:6" ht="10.5" customHeight="1">
      <c r="D931" s="17" t="s">
        <v>1410</v>
      </c>
      <c r="F931" s="23">
        <v>272.25</v>
      </c>
    </row>
    <row r="932" spans="1:43" ht="12.75">
      <c r="A932" s="6" t="s">
        <v>546</v>
      </c>
      <c r="B932" s="6" t="s">
        <v>592</v>
      </c>
      <c r="C932" s="6" t="s">
        <v>914</v>
      </c>
      <c r="D932" s="6" t="s">
        <v>1427</v>
      </c>
      <c r="E932" s="6" t="s">
        <v>1494</v>
      </c>
      <c r="F932" s="24">
        <v>3</v>
      </c>
      <c r="G932" s="24">
        <v>0</v>
      </c>
      <c r="H932" s="24">
        <f>F932*AE932</f>
        <v>0</v>
      </c>
      <c r="I932" s="24">
        <f>J932-H932</f>
        <v>0</v>
      </c>
      <c r="J932" s="24">
        <f>F932*G932</f>
        <v>0</v>
      </c>
      <c r="K932" s="24">
        <v>0.0003</v>
      </c>
      <c r="L932" s="24">
        <f>F932*K932</f>
        <v>0.0009</v>
      </c>
      <c r="M932" s="36" t="s">
        <v>1523</v>
      </c>
      <c r="N932" s="36" t="s">
        <v>1526</v>
      </c>
      <c r="O932" s="24">
        <f>IF(N932="5",I932,0)</f>
        <v>0</v>
      </c>
      <c r="Z932" s="24">
        <f>IF(AD932=0,J932,0)</f>
        <v>0</v>
      </c>
      <c r="AA932" s="24">
        <f>IF(AD932=15,J932,0)</f>
        <v>0</v>
      </c>
      <c r="AB932" s="24">
        <f>IF(AD932=21,J932,0)</f>
        <v>0</v>
      </c>
      <c r="AD932" s="39">
        <v>15</v>
      </c>
      <c r="AE932" s="39">
        <f>G932*1</f>
        <v>0</v>
      </c>
      <c r="AF932" s="39">
        <f>G932*(1-1)</f>
        <v>0</v>
      </c>
      <c r="AM932" s="39">
        <f>F932*AE932</f>
        <v>0</v>
      </c>
      <c r="AN932" s="39">
        <f>F932*AF932</f>
        <v>0</v>
      </c>
      <c r="AO932" s="40" t="s">
        <v>1592</v>
      </c>
      <c r="AP932" s="40" t="s">
        <v>1599</v>
      </c>
      <c r="AQ932" s="31" t="s">
        <v>1611</v>
      </c>
    </row>
    <row r="933" spans="1:43" ht="12.75">
      <c r="A933" s="6" t="s">
        <v>547</v>
      </c>
      <c r="B933" s="6" t="s">
        <v>592</v>
      </c>
      <c r="C933" s="6" t="s">
        <v>915</v>
      </c>
      <c r="D933" s="6" t="s">
        <v>1428</v>
      </c>
      <c r="E933" s="6" t="s">
        <v>1494</v>
      </c>
      <c r="F933" s="24">
        <v>3</v>
      </c>
      <c r="G933" s="24">
        <v>0</v>
      </c>
      <c r="H933" s="24">
        <f>F933*AE933</f>
        <v>0</v>
      </c>
      <c r="I933" s="24">
        <f>J933-H933</f>
        <v>0</v>
      </c>
      <c r="J933" s="24">
        <f>F933*G933</f>
        <v>0</v>
      </c>
      <c r="K933" s="24">
        <v>0.0015</v>
      </c>
      <c r="L933" s="24">
        <f>F933*K933</f>
        <v>0.0045000000000000005</v>
      </c>
      <c r="M933" s="36" t="s">
        <v>1523</v>
      </c>
      <c r="N933" s="36" t="s">
        <v>1526</v>
      </c>
      <c r="O933" s="24">
        <f>IF(N933="5",I933,0)</f>
        <v>0</v>
      </c>
      <c r="Z933" s="24">
        <f>IF(AD933=0,J933,0)</f>
        <v>0</v>
      </c>
      <c r="AA933" s="24">
        <f>IF(AD933=15,J933,0)</f>
        <v>0</v>
      </c>
      <c r="AB933" s="24">
        <f>IF(AD933=21,J933,0)</f>
        <v>0</v>
      </c>
      <c r="AD933" s="39">
        <v>15</v>
      </c>
      <c r="AE933" s="39">
        <f>G933*1</f>
        <v>0</v>
      </c>
      <c r="AF933" s="39">
        <f>G933*(1-1)</f>
        <v>0</v>
      </c>
      <c r="AM933" s="39">
        <f>F933*AE933</f>
        <v>0</v>
      </c>
      <c r="AN933" s="39">
        <f>F933*AF933</f>
        <v>0</v>
      </c>
      <c r="AO933" s="40" t="s">
        <v>1592</v>
      </c>
      <c r="AP933" s="40" t="s">
        <v>1599</v>
      </c>
      <c r="AQ933" s="31" t="s">
        <v>1611</v>
      </c>
    </row>
    <row r="934" spans="1:43" ht="12.75">
      <c r="A934" s="5" t="s">
        <v>548</v>
      </c>
      <c r="B934" s="5" t="s">
        <v>592</v>
      </c>
      <c r="C934" s="5" t="s">
        <v>916</v>
      </c>
      <c r="D934" s="5" t="s">
        <v>1429</v>
      </c>
      <c r="E934" s="5" t="s">
        <v>1495</v>
      </c>
      <c r="F934" s="22">
        <v>44.1</v>
      </c>
      <c r="G934" s="22">
        <v>0</v>
      </c>
      <c r="H934" s="22">
        <f>F934*AE934</f>
        <v>0</v>
      </c>
      <c r="I934" s="22">
        <f>J934-H934</f>
        <v>0</v>
      </c>
      <c r="J934" s="22">
        <f>F934*G934</f>
        <v>0</v>
      </c>
      <c r="K934" s="22">
        <v>0.00181</v>
      </c>
      <c r="L934" s="22">
        <f>F934*K934</f>
        <v>0.079821</v>
      </c>
      <c r="M934" s="35" t="s">
        <v>1523</v>
      </c>
      <c r="N934" s="35" t="s">
        <v>9</v>
      </c>
      <c r="O934" s="22">
        <f>IF(N934="5",I934,0)</f>
        <v>0</v>
      </c>
      <c r="Z934" s="22">
        <f>IF(AD934=0,J934,0)</f>
        <v>0</v>
      </c>
      <c r="AA934" s="22">
        <f>IF(AD934=15,J934,0)</f>
        <v>0</v>
      </c>
      <c r="AB934" s="22">
        <f>IF(AD934=21,J934,0)</f>
        <v>0</v>
      </c>
      <c r="AD934" s="39">
        <v>15</v>
      </c>
      <c r="AE934" s="39">
        <f>G934*0</f>
        <v>0</v>
      </c>
      <c r="AF934" s="39">
        <f>G934*(1-0)</f>
        <v>0</v>
      </c>
      <c r="AM934" s="39">
        <f>F934*AE934</f>
        <v>0</v>
      </c>
      <c r="AN934" s="39">
        <f>F934*AF934</f>
        <v>0</v>
      </c>
      <c r="AO934" s="40" t="s">
        <v>1592</v>
      </c>
      <c r="AP934" s="40" t="s">
        <v>1599</v>
      </c>
      <c r="AQ934" s="31" t="s">
        <v>1611</v>
      </c>
    </row>
    <row r="935" ht="12.75">
      <c r="D935" s="18" t="s">
        <v>1409</v>
      </c>
    </row>
    <row r="936" spans="4:6" ht="10.5" customHeight="1">
      <c r="D936" s="17" t="s">
        <v>1421</v>
      </c>
      <c r="F936" s="23">
        <v>44.1</v>
      </c>
    </row>
    <row r="937" spans="1:43" ht="12.75">
      <c r="A937" s="5" t="s">
        <v>549</v>
      </c>
      <c r="B937" s="5" t="s">
        <v>592</v>
      </c>
      <c r="C937" s="5" t="s">
        <v>917</v>
      </c>
      <c r="D937" s="5" t="s">
        <v>1430</v>
      </c>
      <c r="E937" s="5" t="s">
        <v>1495</v>
      </c>
      <c r="F937" s="22">
        <v>22.07</v>
      </c>
      <c r="G937" s="22">
        <v>0</v>
      </c>
      <c r="H937" s="22">
        <f>F937*AE937</f>
        <v>0</v>
      </c>
      <c r="I937" s="22">
        <f>J937-H937</f>
        <v>0</v>
      </c>
      <c r="J937" s="22">
        <f>F937*G937</f>
        <v>0</v>
      </c>
      <c r="K937" s="22">
        <v>0.00175</v>
      </c>
      <c r="L937" s="22">
        <f>F937*K937</f>
        <v>0.038622500000000004</v>
      </c>
      <c r="M937" s="35" t="s">
        <v>1523</v>
      </c>
      <c r="N937" s="35" t="s">
        <v>7</v>
      </c>
      <c r="O937" s="22">
        <f>IF(N937="5",I937,0)</f>
        <v>0</v>
      </c>
      <c r="Z937" s="22">
        <f>IF(AD937=0,J937,0)</f>
        <v>0</v>
      </c>
      <c r="AA937" s="22">
        <f>IF(AD937=15,J937,0)</f>
        <v>0</v>
      </c>
      <c r="AB937" s="22">
        <f>IF(AD937=21,J937,0)</f>
        <v>0</v>
      </c>
      <c r="AD937" s="39">
        <v>15</v>
      </c>
      <c r="AE937" s="39">
        <f>G937*0</f>
        <v>0</v>
      </c>
      <c r="AF937" s="39">
        <f>G937*(1-0)</f>
        <v>0</v>
      </c>
      <c r="AM937" s="39">
        <f>F937*AE937</f>
        <v>0</v>
      </c>
      <c r="AN937" s="39">
        <f>F937*AF937</f>
        <v>0</v>
      </c>
      <c r="AO937" s="40" t="s">
        <v>1592</v>
      </c>
      <c r="AP937" s="40" t="s">
        <v>1599</v>
      </c>
      <c r="AQ937" s="31" t="s">
        <v>1611</v>
      </c>
    </row>
    <row r="938" spans="1:43" ht="12.75">
      <c r="A938" s="5" t="s">
        <v>550</v>
      </c>
      <c r="B938" s="5" t="s">
        <v>592</v>
      </c>
      <c r="C938" s="5" t="s">
        <v>918</v>
      </c>
      <c r="D938" s="5" t="s">
        <v>1431</v>
      </c>
      <c r="E938" s="5" t="s">
        <v>1495</v>
      </c>
      <c r="F938" s="22">
        <v>22.07</v>
      </c>
      <c r="G938" s="22">
        <v>0</v>
      </c>
      <c r="H938" s="22">
        <f>F938*AE938</f>
        <v>0</v>
      </c>
      <c r="I938" s="22">
        <f>J938-H938</f>
        <v>0</v>
      </c>
      <c r="J938" s="22">
        <f>F938*G938</f>
        <v>0</v>
      </c>
      <c r="K938" s="22">
        <v>0.00254</v>
      </c>
      <c r="L938" s="22">
        <f>F938*K938</f>
        <v>0.056057800000000005</v>
      </c>
      <c r="M938" s="35" t="s">
        <v>1523</v>
      </c>
      <c r="N938" s="35" t="s">
        <v>7</v>
      </c>
      <c r="O938" s="22">
        <f>IF(N938="5",I938,0)</f>
        <v>0</v>
      </c>
      <c r="Z938" s="22">
        <f>IF(AD938=0,J938,0)</f>
        <v>0</v>
      </c>
      <c r="AA938" s="22">
        <f>IF(AD938=15,J938,0)</f>
        <v>0</v>
      </c>
      <c r="AB938" s="22">
        <f>IF(AD938=21,J938,0)</f>
        <v>0</v>
      </c>
      <c r="AD938" s="39">
        <v>15</v>
      </c>
      <c r="AE938" s="39">
        <f>G938*0.446179817270396</f>
        <v>0</v>
      </c>
      <c r="AF938" s="39">
        <f>G938*(1-0.446179817270396)</f>
        <v>0</v>
      </c>
      <c r="AM938" s="39">
        <f>F938*AE938</f>
        <v>0</v>
      </c>
      <c r="AN938" s="39">
        <f>F938*AF938</f>
        <v>0</v>
      </c>
      <c r="AO938" s="40" t="s">
        <v>1592</v>
      </c>
      <c r="AP938" s="40" t="s">
        <v>1599</v>
      </c>
      <c r="AQ938" s="31" t="s">
        <v>1611</v>
      </c>
    </row>
    <row r="939" spans="1:43" ht="12.75">
      <c r="A939" s="5" t="s">
        <v>551</v>
      </c>
      <c r="B939" s="5" t="s">
        <v>592</v>
      </c>
      <c r="C939" s="5" t="s">
        <v>919</v>
      </c>
      <c r="D939" s="5" t="s">
        <v>1432</v>
      </c>
      <c r="E939" s="5" t="s">
        <v>1495</v>
      </c>
      <c r="F939" s="22">
        <v>13.8</v>
      </c>
      <c r="G939" s="22">
        <v>0</v>
      </c>
      <c r="H939" s="22">
        <f>F939*AE939</f>
        <v>0</v>
      </c>
      <c r="I939" s="22">
        <f>J939-H939</f>
        <v>0</v>
      </c>
      <c r="J939" s="22">
        <f>F939*G939</f>
        <v>0</v>
      </c>
      <c r="K939" s="22">
        <v>0.00254</v>
      </c>
      <c r="L939" s="22">
        <f>F939*K939</f>
        <v>0.03505200000000001</v>
      </c>
      <c r="M939" s="35" t="s">
        <v>1523</v>
      </c>
      <c r="N939" s="35" t="s">
        <v>7</v>
      </c>
      <c r="O939" s="22">
        <f>IF(N939="5",I939,0)</f>
        <v>0</v>
      </c>
      <c r="Z939" s="22">
        <f>IF(AD939=0,J939,0)</f>
        <v>0</v>
      </c>
      <c r="AA939" s="22">
        <f>IF(AD939=15,J939,0)</f>
        <v>0</v>
      </c>
      <c r="AB939" s="22">
        <f>IF(AD939=21,J939,0)</f>
        <v>0</v>
      </c>
      <c r="AD939" s="39">
        <v>15</v>
      </c>
      <c r="AE939" s="39">
        <f>G939*0.431528683483023</f>
        <v>0</v>
      </c>
      <c r="AF939" s="39">
        <f>G939*(1-0.431528683483023)</f>
        <v>0</v>
      </c>
      <c r="AM939" s="39">
        <f>F939*AE939</f>
        <v>0</v>
      </c>
      <c r="AN939" s="39">
        <f>F939*AF939</f>
        <v>0</v>
      </c>
      <c r="AO939" s="40" t="s">
        <v>1592</v>
      </c>
      <c r="AP939" s="40" t="s">
        <v>1599</v>
      </c>
      <c r="AQ939" s="31" t="s">
        <v>1611</v>
      </c>
    </row>
    <row r="940" spans="4:6" ht="10.5" customHeight="1">
      <c r="D940" s="17" t="s">
        <v>1433</v>
      </c>
      <c r="F940" s="23">
        <v>13.8</v>
      </c>
    </row>
    <row r="941" spans="1:43" ht="12.75">
      <c r="A941" s="5" t="s">
        <v>552</v>
      </c>
      <c r="B941" s="5" t="s">
        <v>592</v>
      </c>
      <c r="C941" s="5" t="s">
        <v>920</v>
      </c>
      <c r="D941" s="5" t="s">
        <v>1434</v>
      </c>
      <c r="E941" s="5" t="s">
        <v>1495</v>
      </c>
      <c r="F941" s="22">
        <v>44</v>
      </c>
      <c r="G941" s="22">
        <v>0</v>
      </c>
      <c r="H941" s="22">
        <f>F941*AE941</f>
        <v>0</v>
      </c>
      <c r="I941" s="22">
        <f>J941-H941</f>
        <v>0</v>
      </c>
      <c r="J941" s="22">
        <f>F941*G941</f>
        <v>0</v>
      </c>
      <c r="K941" s="22">
        <v>0.00464</v>
      </c>
      <c r="L941" s="22">
        <f>F941*K941</f>
        <v>0.20416</v>
      </c>
      <c r="M941" s="35" t="s">
        <v>1523</v>
      </c>
      <c r="N941" s="35" t="s">
        <v>9</v>
      </c>
      <c r="O941" s="22">
        <f>IF(N941="5",I941,0)</f>
        <v>0</v>
      </c>
      <c r="Z941" s="22">
        <f>IF(AD941=0,J941,0)</f>
        <v>0</v>
      </c>
      <c r="AA941" s="22">
        <f>IF(AD941=15,J941,0)</f>
        <v>0</v>
      </c>
      <c r="AB941" s="22">
        <f>IF(AD941=21,J941,0)</f>
        <v>0</v>
      </c>
      <c r="AD941" s="39">
        <v>15</v>
      </c>
      <c r="AE941" s="39">
        <f>G941*0</f>
        <v>0</v>
      </c>
      <c r="AF941" s="39">
        <f>G941*(1-0)</f>
        <v>0</v>
      </c>
      <c r="AM941" s="39">
        <f>F941*AE941</f>
        <v>0</v>
      </c>
      <c r="AN941" s="39">
        <f>F941*AF941</f>
        <v>0</v>
      </c>
      <c r="AO941" s="40" t="s">
        <v>1592</v>
      </c>
      <c r="AP941" s="40" t="s">
        <v>1599</v>
      </c>
      <c r="AQ941" s="31" t="s">
        <v>1611</v>
      </c>
    </row>
    <row r="942" ht="12.75">
      <c r="D942" s="18" t="s">
        <v>1409</v>
      </c>
    </row>
    <row r="943" spans="1:43" ht="12.75">
      <c r="A943" s="5" t="s">
        <v>553</v>
      </c>
      <c r="B943" s="5" t="s">
        <v>592</v>
      </c>
      <c r="C943" s="5" t="s">
        <v>921</v>
      </c>
      <c r="D943" s="5" t="s">
        <v>1435</v>
      </c>
      <c r="E943" s="5" t="s">
        <v>1494</v>
      </c>
      <c r="F943" s="22">
        <v>46</v>
      </c>
      <c r="G943" s="22">
        <v>0</v>
      </c>
      <c r="H943" s="22">
        <f>F943*AE943</f>
        <v>0</v>
      </c>
      <c r="I943" s="22">
        <f>J943-H943</f>
        <v>0</v>
      </c>
      <c r="J943" s="22">
        <f>F943*G943</f>
        <v>0</v>
      </c>
      <c r="K943" s="22">
        <v>0.00096</v>
      </c>
      <c r="L943" s="22">
        <f>F943*K943</f>
        <v>0.04416</v>
      </c>
      <c r="M943" s="35" t="s">
        <v>1523</v>
      </c>
      <c r="N943" s="35" t="s">
        <v>7</v>
      </c>
      <c r="O943" s="22">
        <f>IF(N943="5",I943,0)</f>
        <v>0</v>
      </c>
      <c r="Z943" s="22">
        <f>IF(AD943=0,J943,0)</f>
        <v>0</v>
      </c>
      <c r="AA943" s="22">
        <f>IF(AD943=15,J943,0)</f>
        <v>0</v>
      </c>
      <c r="AB943" s="22">
        <f>IF(AD943=21,J943,0)</f>
        <v>0</v>
      </c>
      <c r="AD943" s="39">
        <v>15</v>
      </c>
      <c r="AE943" s="39">
        <f>G943*0</f>
        <v>0</v>
      </c>
      <c r="AF943" s="39">
        <f>G943*(1-0)</f>
        <v>0</v>
      </c>
      <c r="AM943" s="39">
        <f>F943*AE943</f>
        <v>0</v>
      </c>
      <c r="AN943" s="39">
        <f>F943*AF943</f>
        <v>0</v>
      </c>
      <c r="AO943" s="40" t="s">
        <v>1592</v>
      </c>
      <c r="AP943" s="40" t="s">
        <v>1599</v>
      </c>
      <c r="AQ943" s="31" t="s">
        <v>1611</v>
      </c>
    </row>
    <row r="944" spans="1:43" ht="12.75">
      <c r="A944" s="5" t="s">
        <v>554</v>
      </c>
      <c r="B944" s="5" t="s">
        <v>592</v>
      </c>
      <c r="C944" s="5" t="s">
        <v>922</v>
      </c>
      <c r="D944" s="5" t="s">
        <v>1436</v>
      </c>
      <c r="E944" s="5" t="s">
        <v>1494</v>
      </c>
      <c r="F944" s="22">
        <v>46</v>
      </c>
      <c r="G944" s="22">
        <v>0</v>
      </c>
      <c r="H944" s="22">
        <f>F944*AE944</f>
        <v>0</v>
      </c>
      <c r="I944" s="22">
        <f>J944-H944</f>
        <v>0</v>
      </c>
      <c r="J944" s="22">
        <f>F944*G944</f>
        <v>0</v>
      </c>
      <c r="K944" s="22">
        <v>5E-05</v>
      </c>
      <c r="L944" s="22">
        <f>F944*K944</f>
        <v>0.0023</v>
      </c>
      <c r="M944" s="35" t="s">
        <v>1523</v>
      </c>
      <c r="N944" s="35" t="s">
        <v>7</v>
      </c>
      <c r="O944" s="22">
        <f>IF(N944="5",I944,0)</f>
        <v>0</v>
      </c>
      <c r="Z944" s="22">
        <f>IF(AD944=0,J944,0)</f>
        <v>0</v>
      </c>
      <c r="AA944" s="22">
        <f>IF(AD944=15,J944,0)</f>
        <v>0</v>
      </c>
      <c r="AB944" s="22">
        <f>IF(AD944=21,J944,0)</f>
        <v>0</v>
      </c>
      <c r="AD944" s="39">
        <v>15</v>
      </c>
      <c r="AE944" s="39">
        <f>G944*0.0832448502866851</f>
        <v>0</v>
      </c>
      <c r="AF944" s="39">
        <f>G944*(1-0.0832448502866851)</f>
        <v>0</v>
      </c>
      <c r="AM944" s="39">
        <f>F944*AE944</f>
        <v>0</v>
      </c>
      <c r="AN944" s="39">
        <f>F944*AF944</f>
        <v>0</v>
      </c>
      <c r="AO944" s="40" t="s">
        <v>1592</v>
      </c>
      <c r="AP944" s="40" t="s">
        <v>1599</v>
      </c>
      <c r="AQ944" s="31" t="s">
        <v>1611</v>
      </c>
    </row>
    <row r="945" spans="1:43" ht="12.75">
      <c r="A945" s="6" t="s">
        <v>555</v>
      </c>
      <c r="B945" s="6" t="s">
        <v>592</v>
      </c>
      <c r="C945" s="6" t="s">
        <v>923</v>
      </c>
      <c r="D945" s="6" t="s">
        <v>1437</v>
      </c>
      <c r="E945" s="6" t="s">
        <v>1494</v>
      </c>
      <c r="F945" s="24">
        <v>46</v>
      </c>
      <c r="G945" s="24">
        <v>0</v>
      </c>
      <c r="H945" s="24">
        <f>F945*AE945</f>
        <v>0</v>
      </c>
      <c r="I945" s="24">
        <f>J945-H945</f>
        <v>0</v>
      </c>
      <c r="J945" s="24">
        <f>F945*G945</f>
        <v>0</v>
      </c>
      <c r="K945" s="24">
        <v>0.0008</v>
      </c>
      <c r="L945" s="24">
        <f>F945*K945</f>
        <v>0.0368</v>
      </c>
      <c r="M945" s="36" t="s">
        <v>1523</v>
      </c>
      <c r="N945" s="36" t="s">
        <v>1526</v>
      </c>
      <c r="O945" s="24">
        <f>IF(N945="5",I945,0)</f>
        <v>0</v>
      </c>
      <c r="Z945" s="24">
        <f>IF(AD945=0,J945,0)</f>
        <v>0</v>
      </c>
      <c r="AA945" s="24">
        <f>IF(AD945=15,J945,0)</f>
        <v>0</v>
      </c>
      <c r="AB945" s="24">
        <f>IF(AD945=21,J945,0)</f>
        <v>0</v>
      </c>
      <c r="AD945" s="39">
        <v>15</v>
      </c>
      <c r="AE945" s="39">
        <f>G945*1</f>
        <v>0</v>
      </c>
      <c r="AF945" s="39">
        <f>G945*(1-1)</f>
        <v>0</v>
      </c>
      <c r="AM945" s="39">
        <f>F945*AE945</f>
        <v>0</v>
      </c>
      <c r="AN945" s="39">
        <f>F945*AF945</f>
        <v>0</v>
      </c>
      <c r="AO945" s="40" t="s">
        <v>1592</v>
      </c>
      <c r="AP945" s="40" t="s">
        <v>1599</v>
      </c>
      <c r="AQ945" s="31" t="s">
        <v>1611</v>
      </c>
    </row>
    <row r="946" spans="1:43" ht="12.75">
      <c r="A946" s="6" t="s">
        <v>556</v>
      </c>
      <c r="B946" s="6" t="s">
        <v>592</v>
      </c>
      <c r="C946" s="6" t="s">
        <v>924</v>
      </c>
      <c r="D946" s="6" t="s">
        <v>1438</v>
      </c>
      <c r="E946" s="6" t="s">
        <v>1494</v>
      </c>
      <c r="F946" s="24">
        <v>16</v>
      </c>
      <c r="G946" s="24">
        <v>0</v>
      </c>
      <c r="H946" s="24">
        <f>F946*AE946</f>
        <v>0</v>
      </c>
      <c r="I946" s="24">
        <f>J946-H946</f>
        <v>0</v>
      </c>
      <c r="J946" s="24">
        <f>F946*G946</f>
        <v>0</v>
      </c>
      <c r="K946" s="24">
        <v>7E-05</v>
      </c>
      <c r="L946" s="24">
        <f>F946*K946</f>
        <v>0.00112</v>
      </c>
      <c r="M946" s="36" t="s">
        <v>1523</v>
      </c>
      <c r="N946" s="36" t="s">
        <v>1526</v>
      </c>
      <c r="O946" s="24">
        <f>IF(N946="5",I946,0)</f>
        <v>0</v>
      </c>
      <c r="Z946" s="24">
        <f>IF(AD946=0,J946,0)</f>
        <v>0</v>
      </c>
      <c r="AA946" s="24">
        <f>IF(AD946=15,J946,0)</f>
        <v>0</v>
      </c>
      <c r="AB946" s="24">
        <f>IF(AD946=21,J946,0)</f>
        <v>0</v>
      </c>
      <c r="AD946" s="39">
        <v>15</v>
      </c>
      <c r="AE946" s="39">
        <f>G946*1</f>
        <v>0</v>
      </c>
      <c r="AF946" s="39">
        <f>G946*(1-1)</f>
        <v>0</v>
      </c>
      <c r="AM946" s="39">
        <f>F946*AE946</f>
        <v>0</v>
      </c>
      <c r="AN946" s="39">
        <f>F946*AF946</f>
        <v>0</v>
      </c>
      <c r="AO946" s="40" t="s">
        <v>1592</v>
      </c>
      <c r="AP946" s="40" t="s">
        <v>1599</v>
      </c>
      <c r="AQ946" s="31" t="s">
        <v>1611</v>
      </c>
    </row>
    <row r="947" spans="1:43" ht="12.75">
      <c r="A947" s="5" t="s">
        <v>557</v>
      </c>
      <c r="B947" s="5" t="s">
        <v>592</v>
      </c>
      <c r="C947" s="5" t="s">
        <v>925</v>
      </c>
      <c r="D947" s="5" t="s">
        <v>1439</v>
      </c>
      <c r="E947" s="5" t="s">
        <v>1493</v>
      </c>
      <c r="F947" s="22">
        <v>3.471</v>
      </c>
      <c r="G947" s="22">
        <v>0</v>
      </c>
      <c r="H947" s="22">
        <f>F947*AE947</f>
        <v>0</v>
      </c>
      <c r="I947" s="22">
        <f>J947-H947</f>
        <v>0</v>
      </c>
      <c r="J947" s="22">
        <f>F947*G947</f>
        <v>0</v>
      </c>
      <c r="K947" s="22">
        <v>0.00732</v>
      </c>
      <c r="L947" s="22">
        <f>F947*K947</f>
        <v>0.02540772</v>
      </c>
      <c r="M947" s="35" t="s">
        <v>1523</v>
      </c>
      <c r="N947" s="35" t="s">
        <v>9</v>
      </c>
      <c r="O947" s="22">
        <f>IF(N947="5",I947,0)</f>
        <v>0</v>
      </c>
      <c r="Z947" s="22">
        <f>IF(AD947=0,J947,0)</f>
        <v>0</v>
      </c>
      <c r="AA947" s="22">
        <f>IF(AD947=15,J947,0)</f>
        <v>0</v>
      </c>
      <c r="AB947" s="22">
        <f>IF(AD947=21,J947,0)</f>
        <v>0</v>
      </c>
      <c r="AD947" s="39">
        <v>15</v>
      </c>
      <c r="AE947" s="39">
        <f>G947*0</f>
        <v>0</v>
      </c>
      <c r="AF947" s="39">
        <f>G947*(1-0)</f>
        <v>0</v>
      </c>
      <c r="AM947" s="39">
        <f>F947*AE947</f>
        <v>0</v>
      </c>
      <c r="AN947" s="39">
        <f>F947*AF947</f>
        <v>0</v>
      </c>
      <c r="AO947" s="40" t="s">
        <v>1592</v>
      </c>
      <c r="AP947" s="40" t="s">
        <v>1599</v>
      </c>
      <c r="AQ947" s="31" t="s">
        <v>1611</v>
      </c>
    </row>
    <row r="948" spans="4:6" ht="10.5" customHeight="1">
      <c r="D948" s="17" t="s">
        <v>1440</v>
      </c>
      <c r="F948" s="23">
        <v>2.511</v>
      </c>
    </row>
    <row r="949" spans="4:6" ht="10.5" customHeight="1">
      <c r="D949" s="17" t="s">
        <v>1441</v>
      </c>
      <c r="F949" s="23">
        <v>0.96</v>
      </c>
    </row>
    <row r="950" spans="1:43" ht="12.75">
      <c r="A950" s="5" t="s">
        <v>558</v>
      </c>
      <c r="B950" s="5" t="s">
        <v>592</v>
      </c>
      <c r="C950" s="5" t="s">
        <v>926</v>
      </c>
      <c r="D950" s="5" t="s">
        <v>1442</v>
      </c>
      <c r="E950" s="5" t="s">
        <v>1495</v>
      </c>
      <c r="F950" s="22">
        <v>8</v>
      </c>
      <c r="G950" s="22">
        <v>0</v>
      </c>
      <c r="H950" s="22">
        <f>F950*AE950</f>
        <v>0</v>
      </c>
      <c r="I950" s="22">
        <f>J950-H950</f>
        <v>0</v>
      </c>
      <c r="J950" s="22">
        <f>F950*G950</f>
        <v>0</v>
      </c>
      <c r="K950" s="22">
        <v>0.00128</v>
      </c>
      <c r="L950" s="22">
        <f>F950*K950</f>
        <v>0.01024</v>
      </c>
      <c r="M950" s="35" t="s">
        <v>1523</v>
      </c>
      <c r="N950" s="35" t="s">
        <v>7</v>
      </c>
      <c r="O950" s="22">
        <f>IF(N950="5",I950,0)</f>
        <v>0</v>
      </c>
      <c r="Z950" s="22">
        <f>IF(AD950=0,J950,0)</f>
        <v>0</v>
      </c>
      <c r="AA950" s="22">
        <f>IF(AD950=15,J950,0)</f>
        <v>0</v>
      </c>
      <c r="AB950" s="22">
        <f>IF(AD950=21,J950,0)</f>
        <v>0</v>
      </c>
      <c r="AD950" s="39">
        <v>15</v>
      </c>
      <c r="AE950" s="39">
        <f>G950*0.730680529300567</f>
        <v>0</v>
      </c>
      <c r="AF950" s="39">
        <f>G950*(1-0.730680529300567)</f>
        <v>0</v>
      </c>
      <c r="AM950" s="39">
        <f>F950*AE950</f>
        <v>0</v>
      </c>
      <c r="AN950" s="39">
        <f>F950*AF950</f>
        <v>0</v>
      </c>
      <c r="AO950" s="40" t="s">
        <v>1592</v>
      </c>
      <c r="AP950" s="40" t="s">
        <v>1599</v>
      </c>
      <c r="AQ950" s="31" t="s">
        <v>1611</v>
      </c>
    </row>
    <row r="951" spans="1:43" ht="12.75">
      <c r="A951" s="5" t="s">
        <v>559</v>
      </c>
      <c r="B951" s="5" t="s">
        <v>592</v>
      </c>
      <c r="C951" s="5" t="s">
        <v>913</v>
      </c>
      <c r="D951" s="5" t="s">
        <v>1443</v>
      </c>
      <c r="E951" s="5" t="s">
        <v>1493</v>
      </c>
      <c r="F951" s="22">
        <v>3.471</v>
      </c>
      <c r="G951" s="22">
        <v>0</v>
      </c>
      <c r="H951" s="22">
        <f>F951*AE951</f>
        <v>0</v>
      </c>
      <c r="I951" s="22">
        <f>J951-H951</f>
        <v>0</v>
      </c>
      <c r="J951" s="22">
        <f>F951*G951</f>
        <v>0</v>
      </c>
      <c r="K951" s="22">
        <v>0.00441</v>
      </c>
      <c r="L951" s="22">
        <f>F951*K951</f>
        <v>0.01530711</v>
      </c>
      <c r="M951" s="35" t="s">
        <v>1523</v>
      </c>
      <c r="N951" s="35" t="s">
        <v>7</v>
      </c>
      <c r="O951" s="22">
        <f>IF(N951="5",I951,0)</f>
        <v>0</v>
      </c>
      <c r="Z951" s="22">
        <f>IF(AD951=0,J951,0)</f>
        <v>0</v>
      </c>
      <c r="AA951" s="22">
        <f>IF(AD951=15,J951,0)</f>
        <v>0</v>
      </c>
      <c r="AB951" s="22">
        <f>IF(AD951=21,J951,0)</f>
        <v>0</v>
      </c>
      <c r="AD951" s="39">
        <v>15</v>
      </c>
      <c r="AE951" s="39">
        <f>G951*0.453930757050541</f>
        <v>0</v>
      </c>
      <c r="AF951" s="39">
        <f>G951*(1-0.453930757050541)</f>
        <v>0</v>
      </c>
      <c r="AM951" s="39">
        <f>F951*AE951</f>
        <v>0</v>
      </c>
      <c r="AN951" s="39">
        <f>F951*AF951</f>
        <v>0</v>
      </c>
      <c r="AO951" s="40" t="s">
        <v>1592</v>
      </c>
      <c r="AP951" s="40" t="s">
        <v>1599</v>
      </c>
      <c r="AQ951" s="31" t="s">
        <v>1611</v>
      </c>
    </row>
    <row r="952" spans="4:6" ht="10.5" customHeight="1">
      <c r="D952" s="17" t="s">
        <v>1440</v>
      </c>
      <c r="F952" s="23">
        <v>2.511</v>
      </c>
    </row>
    <row r="953" spans="4:6" ht="10.5" customHeight="1">
      <c r="D953" s="17" t="s">
        <v>1441</v>
      </c>
      <c r="F953" s="23">
        <v>0.96</v>
      </c>
    </row>
    <row r="954" spans="1:43" ht="12.75">
      <c r="A954" s="6" t="s">
        <v>560</v>
      </c>
      <c r="B954" s="6" t="s">
        <v>592</v>
      </c>
      <c r="C954" s="6" t="s">
        <v>755</v>
      </c>
      <c r="D954" s="6" t="s">
        <v>1175</v>
      </c>
      <c r="E954" s="6" t="s">
        <v>1494</v>
      </c>
      <c r="F954" s="24">
        <v>12</v>
      </c>
      <c r="G954" s="24">
        <v>0</v>
      </c>
      <c r="H954" s="24">
        <f>F954*AE954</f>
        <v>0</v>
      </c>
      <c r="I954" s="24">
        <f>J954-H954</f>
        <v>0</v>
      </c>
      <c r="J954" s="24">
        <f>F954*G954</f>
        <v>0</v>
      </c>
      <c r="K954" s="24">
        <v>0.00044</v>
      </c>
      <c r="L954" s="24">
        <f>F954*K954</f>
        <v>0.00528</v>
      </c>
      <c r="M954" s="36" t="s">
        <v>1523</v>
      </c>
      <c r="N954" s="36" t="s">
        <v>1526</v>
      </c>
      <c r="O954" s="24">
        <f>IF(N954="5",I954,0)</f>
        <v>0</v>
      </c>
      <c r="Z954" s="24">
        <f>IF(AD954=0,J954,0)</f>
        <v>0</v>
      </c>
      <c r="AA954" s="24">
        <f>IF(AD954=15,J954,0)</f>
        <v>0</v>
      </c>
      <c r="AB954" s="24">
        <f>IF(AD954=21,J954,0)</f>
        <v>0</v>
      </c>
      <c r="AD954" s="39">
        <v>15</v>
      </c>
      <c r="AE954" s="39">
        <f>G954*1</f>
        <v>0</v>
      </c>
      <c r="AF954" s="39">
        <f>G954*(1-1)</f>
        <v>0</v>
      </c>
      <c r="AM954" s="39">
        <f>F954*AE954</f>
        <v>0</v>
      </c>
      <c r="AN954" s="39">
        <f>F954*AF954</f>
        <v>0</v>
      </c>
      <c r="AO954" s="40" t="s">
        <v>1592</v>
      </c>
      <c r="AP954" s="40" t="s">
        <v>1599</v>
      </c>
      <c r="AQ954" s="31" t="s">
        <v>1611</v>
      </c>
    </row>
    <row r="955" spans="1:37" ht="12.75">
      <c r="A955" s="4"/>
      <c r="B955" s="14" t="s">
        <v>592</v>
      </c>
      <c r="C955" s="14" t="s">
        <v>783</v>
      </c>
      <c r="D955" s="104" t="s">
        <v>1211</v>
      </c>
      <c r="E955" s="105"/>
      <c r="F955" s="105"/>
      <c r="G955" s="105"/>
      <c r="H955" s="42">
        <f>SUM(H956:H957)</f>
        <v>0</v>
      </c>
      <c r="I955" s="42">
        <f>SUM(I956:I957)</f>
        <v>0</v>
      </c>
      <c r="J955" s="42">
        <f>H955+I955</f>
        <v>0</v>
      </c>
      <c r="K955" s="31"/>
      <c r="L955" s="42">
        <f>SUM(L956:L957)</f>
        <v>0.016769999999999997</v>
      </c>
      <c r="M955" s="31"/>
      <c r="P955" s="42">
        <f>IF(Q955="PR",J955,SUM(O956:O957))</f>
        <v>0</v>
      </c>
      <c r="Q955" s="31" t="s">
        <v>1530</v>
      </c>
      <c r="R955" s="42">
        <f>IF(Q955="HS",H955,0)</f>
        <v>0</v>
      </c>
      <c r="S955" s="42">
        <f>IF(Q955="HS",I955-P955,0)</f>
        <v>0</v>
      </c>
      <c r="T955" s="42">
        <f>IF(Q955="PS",H955,0)</f>
        <v>0</v>
      </c>
      <c r="U955" s="42">
        <f>IF(Q955="PS",I955-P955,0)</f>
        <v>0</v>
      </c>
      <c r="V955" s="42">
        <f>IF(Q955="MP",H955,0)</f>
        <v>0</v>
      </c>
      <c r="W955" s="42">
        <f>IF(Q955="MP",I955-P955,0)</f>
        <v>0</v>
      </c>
      <c r="X955" s="42">
        <f>IF(Q955="OM",H955,0)</f>
        <v>0</v>
      </c>
      <c r="Y955" s="31" t="s">
        <v>592</v>
      </c>
      <c r="AI955" s="42">
        <f>SUM(Z956:Z957)</f>
        <v>0</v>
      </c>
      <c r="AJ955" s="42">
        <f>SUM(AA956:AA957)</f>
        <v>0</v>
      </c>
      <c r="AK955" s="42">
        <f>SUM(AB956:AB957)</f>
        <v>0</v>
      </c>
    </row>
    <row r="956" spans="1:43" ht="12.75">
      <c r="A956" s="5" t="s">
        <v>561</v>
      </c>
      <c r="B956" s="5" t="s">
        <v>592</v>
      </c>
      <c r="C956" s="5" t="s">
        <v>927</v>
      </c>
      <c r="D956" s="5" t="s">
        <v>1444</v>
      </c>
      <c r="E956" s="5" t="s">
        <v>1494</v>
      </c>
      <c r="F956" s="22">
        <v>3</v>
      </c>
      <c r="G956" s="22">
        <v>0</v>
      </c>
      <c r="H956" s="22">
        <f>F956*AE956</f>
        <v>0</v>
      </c>
      <c r="I956" s="22">
        <f>J956-H956</f>
        <v>0</v>
      </c>
      <c r="J956" s="22">
        <f>F956*G956</f>
        <v>0</v>
      </c>
      <c r="K956" s="22">
        <v>1E-05</v>
      </c>
      <c r="L956" s="22">
        <f>F956*K956</f>
        <v>3.0000000000000004E-05</v>
      </c>
      <c r="M956" s="35" t="s">
        <v>1523</v>
      </c>
      <c r="N956" s="35" t="s">
        <v>7</v>
      </c>
      <c r="O956" s="22">
        <f>IF(N956="5",I956,0)</f>
        <v>0</v>
      </c>
      <c r="Z956" s="22">
        <f>IF(AD956=0,J956,0)</f>
        <v>0</v>
      </c>
      <c r="AA956" s="22">
        <f>IF(AD956=15,J956,0)</f>
        <v>0</v>
      </c>
      <c r="AB956" s="22">
        <f>IF(AD956=21,J956,0)</f>
        <v>0</v>
      </c>
      <c r="AD956" s="39">
        <v>15</v>
      </c>
      <c r="AE956" s="39">
        <f>G956*0.0206015037593985</f>
        <v>0</v>
      </c>
      <c r="AF956" s="39">
        <f>G956*(1-0.0206015037593985)</f>
        <v>0</v>
      </c>
      <c r="AM956" s="39">
        <f>F956*AE956</f>
        <v>0</v>
      </c>
      <c r="AN956" s="39">
        <f>F956*AF956</f>
        <v>0</v>
      </c>
      <c r="AO956" s="40" t="s">
        <v>1570</v>
      </c>
      <c r="AP956" s="40" t="s">
        <v>1599</v>
      </c>
      <c r="AQ956" s="31" t="s">
        <v>1611</v>
      </c>
    </row>
    <row r="957" spans="1:43" ht="12.75">
      <c r="A957" s="6" t="s">
        <v>562</v>
      </c>
      <c r="B957" s="6" t="s">
        <v>592</v>
      </c>
      <c r="C957" s="6" t="s">
        <v>928</v>
      </c>
      <c r="D957" s="6" t="s">
        <v>1445</v>
      </c>
      <c r="E957" s="6" t="s">
        <v>1494</v>
      </c>
      <c r="F957" s="24">
        <v>3</v>
      </c>
      <c r="G957" s="24">
        <v>0</v>
      </c>
      <c r="H957" s="24">
        <f>F957*AE957</f>
        <v>0</v>
      </c>
      <c r="I957" s="24">
        <f>J957-H957</f>
        <v>0</v>
      </c>
      <c r="J957" s="24">
        <f>F957*G957</f>
        <v>0</v>
      </c>
      <c r="K957" s="24">
        <v>0.00558</v>
      </c>
      <c r="L957" s="24">
        <f>F957*K957</f>
        <v>0.016739999999999998</v>
      </c>
      <c r="M957" s="36" t="s">
        <v>1523</v>
      </c>
      <c r="N957" s="36" t="s">
        <v>1526</v>
      </c>
      <c r="O957" s="24">
        <f>IF(N957="5",I957,0)</f>
        <v>0</v>
      </c>
      <c r="Z957" s="24">
        <f>IF(AD957=0,J957,0)</f>
        <v>0</v>
      </c>
      <c r="AA957" s="24">
        <f>IF(AD957=15,J957,0)</f>
        <v>0</v>
      </c>
      <c r="AB957" s="24">
        <f>IF(AD957=21,J957,0)</f>
        <v>0</v>
      </c>
      <c r="AD957" s="39">
        <v>15</v>
      </c>
      <c r="AE957" s="39">
        <f>G957*1</f>
        <v>0</v>
      </c>
      <c r="AF957" s="39">
        <f>G957*(1-1)</f>
        <v>0</v>
      </c>
      <c r="AM957" s="39">
        <f>F957*AE957</f>
        <v>0</v>
      </c>
      <c r="AN957" s="39">
        <f>F957*AF957</f>
        <v>0</v>
      </c>
      <c r="AO957" s="40" t="s">
        <v>1570</v>
      </c>
      <c r="AP957" s="40" t="s">
        <v>1599</v>
      </c>
      <c r="AQ957" s="31" t="s">
        <v>1611</v>
      </c>
    </row>
    <row r="958" spans="1:37" ht="12.75">
      <c r="A958" s="4"/>
      <c r="B958" s="14" t="s">
        <v>592</v>
      </c>
      <c r="C958" s="14" t="s">
        <v>638</v>
      </c>
      <c r="D958" s="104" t="s">
        <v>1012</v>
      </c>
      <c r="E958" s="105"/>
      <c r="F958" s="105"/>
      <c r="G958" s="105"/>
      <c r="H958" s="42">
        <f>SUM(H959:H961)</f>
        <v>0</v>
      </c>
      <c r="I958" s="42">
        <f>SUM(I959:I961)</f>
        <v>0</v>
      </c>
      <c r="J958" s="42">
        <f>H958+I958</f>
        <v>0</v>
      </c>
      <c r="K958" s="31"/>
      <c r="L958" s="42">
        <f>SUM(L959:L961)</f>
        <v>0.110715</v>
      </c>
      <c r="M958" s="31"/>
      <c r="P958" s="42">
        <f>IF(Q958="PR",J958,SUM(O959:O961))</f>
        <v>0</v>
      </c>
      <c r="Q958" s="31" t="s">
        <v>1530</v>
      </c>
      <c r="R958" s="42">
        <f>IF(Q958="HS",H958,0)</f>
        <v>0</v>
      </c>
      <c r="S958" s="42">
        <f>IF(Q958="HS",I958-P958,0)</f>
        <v>0</v>
      </c>
      <c r="T958" s="42">
        <f>IF(Q958="PS",H958,0)</f>
        <v>0</v>
      </c>
      <c r="U958" s="42">
        <f>IF(Q958="PS",I958-P958,0)</f>
        <v>0</v>
      </c>
      <c r="V958" s="42">
        <f>IF(Q958="MP",H958,0)</f>
        <v>0</v>
      </c>
      <c r="W958" s="42">
        <f>IF(Q958="MP",I958-P958,0)</f>
        <v>0</v>
      </c>
      <c r="X958" s="42">
        <f>IF(Q958="OM",H958,0)</f>
        <v>0</v>
      </c>
      <c r="Y958" s="31" t="s">
        <v>592</v>
      </c>
      <c r="AI958" s="42">
        <f>SUM(Z959:Z961)</f>
        <v>0</v>
      </c>
      <c r="AJ958" s="42">
        <f>SUM(AA959:AA961)</f>
        <v>0</v>
      </c>
      <c r="AK958" s="42">
        <f>SUM(AB959:AB961)</f>
        <v>0</v>
      </c>
    </row>
    <row r="959" spans="1:43" ht="12.75">
      <c r="A959" s="5" t="s">
        <v>563</v>
      </c>
      <c r="B959" s="5" t="s">
        <v>592</v>
      </c>
      <c r="C959" s="5" t="s">
        <v>929</v>
      </c>
      <c r="D959" s="5" t="s">
        <v>1446</v>
      </c>
      <c r="E959" s="5" t="s">
        <v>1493</v>
      </c>
      <c r="F959" s="22">
        <v>12</v>
      </c>
      <c r="G959" s="22">
        <v>0</v>
      </c>
      <c r="H959" s="22">
        <f>F959*AE959</f>
        <v>0</v>
      </c>
      <c r="I959" s="22">
        <f>J959-H959</f>
        <v>0</v>
      </c>
      <c r="J959" s="22">
        <f>F959*G959</f>
        <v>0</v>
      </c>
      <c r="K959" s="22">
        <v>0.00042</v>
      </c>
      <c r="L959" s="22">
        <f>F959*K959</f>
        <v>0.00504</v>
      </c>
      <c r="M959" s="35" t="s">
        <v>1523</v>
      </c>
      <c r="N959" s="35" t="s">
        <v>7</v>
      </c>
      <c r="O959" s="22">
        <f>IF(N959="5",I959,0)</f>
        <v>0</v>
      </c>
      <c r="Z959" s="22">
        <f>IF(AD959=0,J959,0)</f>
        <v>0</v>
      </c>
      <c r="AA959" s="22">
        <f>IF(AD959=15,J959,0)</f>
        <v>0</v>
      </c>
      <c r="AB959" s="22">
        <f>IF(AD959=21,J959,0)</f>
        <v>0</v>
      </c>
      <c r="AD959" s="39">
        <v>15</v>
      </c>
      <c r="AE959" s="39">
        <f>G959*0.485707344724269</f>
        <v>0</v>
      </c>
      <c r="AF959" s="39">
        <f>G959*(1-0.485707344724269)</f>
        <v>0</v>
      </c>
      <c r="AM959" s="39">
        <f>F959*AE959</f>
        <v>0</v>
      </c>
      <c r="AN959" s="39">
        <f>F959*AF959</f>
        <v>0</v>
      </c>
      <c r="AO959" s="40" t="s">
        <v>1548</v>
      </c>
      <c r="AP959" s="40" t="s">
        <v>1601</v>
      </c>
      <c r="AQ959" s="31" t="s">
        <v>1611</v>
      </c>
    </row>
    <row r="960" ht="12.75">
      <c r="D960" s="18" t="s">
        <v>1447</v>
      </c>
    </row>
    <row r="961" spans="1:43" ht="12.75">
      <c r="A961" s="5" t="s">
        <v>564</v>
      </c>
      <c r="B961" s="5" t="s">
        <v>592</v>
      </c>
      <c r="C961" s="5" t="s">
        <v>930</v>
      </c>
      <c r="D961" s="5" t="s">
        <v>1448</v>
      </c>
      <c r="E961" s="5" t="s">
        <v>1493</v>
      </c>
      <c r="F961" s="22">
        <v>704.5</v>
      </c>
      <c r="G961" s="22">
        <v>0</v>
      </c>
      <c r="H961" s="22">
        <f>F961*AE961</f>
        <v>0</v>
      </c>
      <c r="I961" s="22">
        <f>J961-H961</f>
        <v>0</v>
      </c>
      <c r="J961" s="22">
        <f>F961*G961</f>
        <v>0</v>
      </c>
      <c r="K961" s="22">
        <v>0.00015</v>
      </c>
      <c r="L961" s="22">
        <f>F961*K961</f>
        <v>0.10567499999999999</v>
      </c>
      <c r="M961" s="35" t="s">
        <v>1523</v>
      </c>
      <c r="N961" s="35" t="s">
        <v>7</v>
      </c>
      <c r="O961" s="22">
        <f>IF(N961="5",I961,0)</f>
        <v>0</v>
      </c>
      <c r="Z961" s="22">
        <f>IF(AD961=0,J961,0)</f>
        <v>0</v>
      </c>
      <c r="AA961" s="22">
        <f>IF(AD961=15,J961,0)</f>
        <v>0</v>
      </c>
      <c r="AB961" s="22">
        <f>IF(AD961=21,J961,0)</f>
        <v>0</v>
      </c>
      <c r="AD961" s="39">
        <v>15</v>
      </c>
      <c r="AE961" s="39">
        <f>G961*0.18319646241314</f>
        <v>0</v>
      </c>
      <c r="AF961" s="39">
        <f>G961*(1-0.18319646241314)</f>
        <v>0</v>
      </c>
      <c r="AM961" s="39">
        <f>F961*AE961</f>
        <v>0</v>
      </c>
      <c r="AN961" s="39">
        <f>F961*AF961</f>
        <v>0</v>
      </c>
      <c r="AO961" s="40" t="s">
        <v>1548</v>
      </c>
      <c r="AP961" s="40" t="s">
        <v>1601</v>
      </c>
      <c r="AQ961" s="31" t="s">
        <v>1611</v>
      </c>
    </row>
    <row r="962" ht="26.25">
      <c r="D962" s="18" t="s">
        <v>1449</v>
      </c>
    </row>
    <row r="963" spans="4:6" ht="10.5" customHeight="1">
      <c r="D963" s="17" t="s">
        <v>1450</v>
      </c>
      <c r="F963" s="23">
        <v>704.5</v>
      </c>
    </row>
    <row r="964" spans="1:37" ht="12.75">
      <c r="A964" s="4"/>
      <c r="B964" s="14" t="s">
        <v>592</v>
      </c>
      <c r="C964" s="14" t="s">
        <v>100</v>
      </c>
      <c r="D964" s="104" t="s">
        <v>1024</v>
      </c>
      <c r="E964" s="105"/>
      <c r="F964" s="105"/>
      <c r="G964" s="105"/>
      <c r="H964" s="42">
        <f>SUM(H965:H971)</f>
        <v>0</v>
      </c>
      <c r="I964" s="42">
        <f>SUM(I965:I971)</f>
        <v>0</v>
      </c>
      <c r="J964" s="42">
        <f>H964+I964</f>
        <v>0</v>
      </c>
      <c r="K964" s="31"/>
      <c r="L964" s="42">
        <f>SUM(L965:L971)</f>
        <v>13.341908800000002</v>
      </c>
      <c r="M964" s="31"/>
      <c r="P964" s="42">
        <f>IF(Q964="PR",J964,SUM(O965:O971))</f>
        <v>0</v>
      </c>
      <c r="Q964" s="31" t="s">
        <v>1529</v>
      </c>
      <c r="R964" s="42">
        <f>IF(Q964="HS",H964,0)</f>
        <v>0</v>
      </c>
      <c r="S964" s="42">
        <f>IF(Q964="HS",I964-P964,0)</f>
        <v>0</v>
      </c>
      <c r="T964" s="42">
        <f>IF(Q964="PS",H964,0)</f>
        <v>0</v>
      </c>
      <c r="U964" s="42">
        <f>IF(Q964="PS",I964-P964,0)</f>
        <v>0</v>
      </c>
      <c r="V964" s="42">
        <f>IF(Q964="MP",H964,0)</f>
        <v>0</v>
      </c>
      <c r="W964" s="42">
        <f>IF(Q964="MP",I964-P964,0)</f>
        <v>0</v>
      </c>
      <c r="X964" s="42">
        <f>IF(Q964="OM",H964,0)</f>
        <v>0</v>
      </c>
      <c r="Y964" s="31" t="s">
        <v>592</v>
      </c>
      <c r="AI964" s="42">
        <f>SUM(Z965:Z971)</f>
        <v>0</v>
      </c>
      <c r="AJ964" s="42">
        <f>SUM(AA965:AA971)</f>
        <v>0</v>
      </c>
      <c r="AK964" s="42">
        <f>SUM(AB965:AB971)</f>
        <v>0</v>
      </c>
    </row>
    <row r="965" spans="1:43" ht="12.75">
      <c r="A965" s="5" t="s">
        <v>565</v>
      </c>
      <c r="B965" s="5" t="s">
        <v>592</v>
      </c>
      <c r="C965" s="5" t="s">
        <v>931</v>
      </c>
      <c r="D965" s="5" t="s">
        <v>1451</v>
      </c>
      <c r="E965" s="5" t="s">
        <v>1493</v>
      </c>
      <c r="F965" s="22">
        <v>656.59</v>
      </c>
      <c r="G965" s="22">
        <v>0</v>
      </c>
      <c r="H965" s="22">
        <f>F965*AE965</f>
        <v>0</v>
      </c>
      <c r="I965" s="22">
        <f>J965-H965</f>
        <v>0</v>
      </c>
      <c r="J965" s="22">
        <f>F965*G965</f>
        <v>0</v>
      </c>
      <c r="K965" s="22">
        <v>0</v>
      </c>
      <c r="L965" s="22">
        <f>F965*K965</f>
        <v>0</v>
      </c>
      <c r="M965" s="35" t="s">
        <v>1523</v>
      </c>
      <c r="N965" s="35" t="s">
        <v>7</v>
      </c>
      <c r="O965" s="22">
        <f>IF(N965="5",I965,0)</f>
        <v>0</v>
      </c>
      <c r="Z965" s="22">
        <f>IF(AD965=0,J965,0)</f>
        <v>0</v>
      </c>
      <c r="AA965" s="22">
        <f>IF(AD965=15,J965,0)</f>
        <v>0</v>
      </c>
      <c r="AB965" s="22">
        <f>IF(AD965=21,J965,0)</f>
        <v>0</v>
      </c>
      <c r="AD965" s="39">
        <v>15</v>
      </c>
      <c r="AE965" s="39">
        <f>G965*0</f>
        <v>0</v>
      </c>
      <c r="AF965" s="39">
        <f>G965*(1-0)</f>
        <v>0</v>
      </c>
      <c r="AM965" s="39">
        <f>F965*AE965</f>
        <v>0</v>
      </c>
      <c r="AN965" s="39">
        <f>F965*AF965</f>
        <v>0</v>
      </c>
      <c r="AO965" s="40" t="s">
        <v>1551</v>
      </c>
      <c r="AP965" s="40" t="s">
        <v>1602</v>
      </c>
      <c r="AQ965" s="31" t="s">
        <v>1611</v>
      </c>
    </row>
    <row r="966" spans="4:6" ht="10.5" customHeight="1">
      <c r="D966" s="17" t="s">
        <v>1452</v>
      </c>
      <c r="F966" s="23">
        <v>375.19</v>
      </c>
    </row>
    <row r="967" spans="4:6" ht="10.5" customHeight="1">
      <c r="D967" s="17" t="s">
        <v>1453</v>
      </c>
      <c r="F967" s="23">
        <v>281.4</v>
      </c>
    </row>
    <row r="968" spans="1:43" ht="12.75">
      <c r="A968" s="5" t="s">
        <v>566</v>
      </c>
      <c r="B968" s="5" t="s">
        <v>592</v>
      </c>
      <c r="C968" s="5" t="s">
        <v>932</v>
      </c>
      <c r="D968" s="5" t="s">
        <v>1454</v>
      </c>
      <c r="E968" s="5" t="s">
        <v>1493</v>
      </c>
      <c r="F968" s="22">
        <v>656.59</v>
      </c>
      <c r="G968" s="22">
        <v>0</v>
      </c>
      <c r="H968" s="22">
        <f>F968*AE968</f>
        <v>0</v>
      </c>
      <c r="I968" s="22">
        <f>J968-H968</f>
        <v>0</v>
      </c>
      <c r="J968" s="22">
        <f>F968*G968</f>
        <v>0</v>
      </c>
      <c r="K968" s="22">
        <v>0.01838</v>
      </c>
      <c r="L968" s="22">
        <f>F968*K968</f>
        <v>12.068124200000002</v>
      </c>
      <c r="M968" s="35" t="s">
        <v>1523</v>
      </c>
      <c r="N968" s="35" t="s">
        <v>7</v>
      </c>
      <c r="O968" s="22">
        <f>IF(N968="5",I968,0)</f>
        <v>0</v>
      </c>
      <c r="Z968" s="22">
        <f>IF(AD968=0,J968,0)</f>
        <v>0</v>
      </c>
      <c r="AA968" s="22">
        <f>IF(AD968=15,J968,0)</f>
        <v>0</v>
      </c>
      <c r="AB968" s="22">
        <f>IF(AD968=21,J968,0)</f>
        <v>0</v>
      </c>
      <c r="AD968" s="39">
        <v>15</v>
      </c>
      <c r="AE968" s="39">
        <f>G968*0.000623700623700624</f>
        <v>0</v>
      </c>
      <c r="AF968" s="39">
        <f>G968*(1-0.000623700623700624)</f>
        <v>0</v>
      </c>
      <c r="AM968" s="39">
        <f>F968*AE968</f>
        <v>0</v>
      </c>
      <c r="AN968" s="39">
        <f>F968*AF968</f>
        <v>0</v>
      </c>
      <c r="AO968" s="40" t="s">
        <v>1551</v>
      </c>
      <c r="AP968" s="40" t="s">
        <v>1602</v>
      </c>
      <c r="AQ968" s="31" t="s">
        <v>1611</v>
      </c>
    </row>
    <row r="969" spans="4:6" ht="10.5" customHeight="1">
      <c r="D969" s="17" t="s">
        <v>1452</v>
      </c>
      <c r="F969" s="23">
        <v>375.19</v>
      </c>
    </row>
    <row r="970" spans="4:6" ht="10.5" customHeight="1">
      <c r="D970" s="17" t="s">
        <v>1453</v>
      </c>
      <c r="F970" s="23">
        <v>281.4</v>
      </c>
    </row>
    <row r="971" spans="1:43" ht="12.75">
      <c r="A971" s="5" t="s">
        <v>567</v>
      </c>
      <c r="B971" s="5" t="s">
        <v>592</v>
      </c>
      <c r="C971" s="5" t="s">
        <v>933</v>
      </c>
      <c r="D971" s="5" t="s">
        <v>1455</v>
      </c>
      <c r="E971" s="5" t="s">
        <v>1493</v>
      </c>
      <c r="F971" s="22">
        <v>1313.18</v>
      </c>
      <c r="G971" s="22">
        <v>0</v>
      </c>
      <c r="H971" s="22">
        <f>F971*AE971</f>
        <v>0</v>
      </c>
      <c r="I971" s="22">
        <f>J971-H971</f>
        <v>0</v>
      </c>
      <c r="J971" s="22">
        <f>F971*G971</f>
        <v>0</v>
      </c>
      <c r="K971" s="22">
        <v>0.00097</v>
      </c>
      <c r="L971" s="22">
        <f>F971*K971</f>
        <v>1.2737846000000002</v>
      </c>
      <c r="M971" s="35" t="s">
        <v>1523</v>
      </c>
      <c r="N971" s="35" t="s">
        <v>7</v>
      </c>
      <c r="O971" s="22">
        <f>IF(N971="5",I971,0)</f>
        <v>0</v>
      </c>
      <c r="Z971" s="22">
        <f>IF(AD971=0,J971,0)</f>
        <v>0</v>
      </c>
      <c r="AA971" s="22">
        <f>IF(AD971=15,J971,0)</f>
        <v>0</v>
      </c>
      <c r="AB971" s="22">
        <f>IF(AD971=21,J971,0)</f>
        <v>0</v>
      </c>
      <c r="AD971" s="39">
        <v>15</v>
      </c>
      <c r="AE971" s="39">
        <f>G971*0.954889324740824</f>
        <v>0</v>
      </c>
      <c r="AF971" s="39">
        <f>G971*(1-0.954889324740824)</f>
        <v>0</v>
      </c>
      <c r="AM971" s="39">
        <f>F971*AE971</f>
        <v>0</v>
      </c>
      <c r="AN971" s="39">
        <f>F971*AF971</f>
        <v>0</v>
      </c>
      <c r="AO971" s="40" t="s">
        <v>1551</v>
      </c>
      <c r="AP971" s="40" t="s">
        <v>1602</v>
      </c>
      <c r="AQ971" s="31" t="s">
        <v>1611</v>
      </c>
    </row>
    <row r="972" spans="4:6" ht="10.5" customHeight="1">
      <c r="D972" s="17" t="s">
        <v>1456</v>
      </c>
      <c r="F972" s="23">
        <v>1313.18</v>
      </c>
    </row>
    <row r="973" spans="1:37" ht="12.75">
      <c r="A973" s="4"/>
      <c r="B973" s="14" t="s">
        <v>592</v>
      </c>
      <c r="C973" s="14" t="s">
        <v>102</v>
      </c>
      <c r="D973" s="104" t="s">
        <v>1254</v>
      </c>
      <c r="E973" s="105"/>
      <c r="F973" s="105"/>
      <c r="G973" s="105"/>
      <c r="H973" s="42">
        <f>SUM(H974:H980)</f>
        <v>0</v>
      </c>
      <c r="I973" s="42">
        <f>SUM(I974:I980)</f>
        <v>0</v>
      </c>
      <c r="J973" s="42">
        <f>H973+I973</f>
        <v>0</v>
      </c>
      <c r="K973" s="31"/>
      <c r="L973" s="42">
        <f>SUM(L974:L980)</f>
        <v>7.7161396</v>
      </c>
      <c r="M973" s="31"/>
      <c r="P973" s="42">
        <f>IF(Q973="PR",J973,SUM(O974:O980))</f>
        <v>0</v>
      </c>
      <c r="Q973" s="31" t="s">
        <v>1529</v>
      </c>
      <c r="R973" s="42">
        <f>IF(Q973="HS",H973,0)</f>
        <v>0</v>
      </c>
      <c r="S973" s="42">
        <f>IF(Q973="HS",I973-P973,0)</f>
        <v>0</v>
      </c>
      <c r="T973" s="42">
        <f>IF(Q973="PS",H973,0)</f>
        <v>0</v>
      </c>
      <c r="U973" s="42">
        <f>IF(Q973="PS",I973-P973,0)</f>
        <v>0</v>
      </c>
      <c r="V973" s="42">
        <f>IF(Q973="MP",H973,0)</f>
        <v>0</v>
      </c>
      <c r="W973" s="42">
        <f>IF(Q973="MP",I973-P973,0)</f>
        <v>0</v>
      </c>
      <c r="X973" s="42">
        <f>IF(Q973="OM",H973,0)</f>
        <v>0</v>
      </c>
      <c r="Y973" s="31" t="s">
        <v>592</v>
      </c>
      <c r="AI973" s="42">
        <f>SUM(Z974:Z980)</f>
        <v>0</v>
      </c>
      <c r="AJ973" s="42">
        <f>SUM(AA974:AA980)</f>
        <v>0</v>
      </c>
      <c r="AK973" s="42">
        <f>SUM(AB974:AB980)</f>
        <v>0</v>
      </c>
    </row>
    <row r="974" spans="1:43" ht="12.75">
      <c r="A974" s="5" t="s">
        <v>568</v>
      </c>
      <c r="B974" s="5" t="s">
        <v>592</v>
      </c>
      <c r="C974" s="5" t="s">
        <v>934</v>
      </c>
      <c r="D974" s="5" t="s">
        <v>1457</v>
      </c>
      <c r="E974" s="5" t="s">
        <v>1493</v>
      </c>
      <c r="F974" s="22">
        <v>81.87</v>
      </c>
      <c r="G974" s="22">
        <v>0</v>
      </c>
      <c r="H974" s="22">
        <f>F974*AE974</f>
        <v>0</v>
      </c>
      <c r="I974" s="22">
        <f>J974-H974</f>
        <v>0</v>
      </c>
      <c r="J974" s="22">
        <f>F974*G974</f>
        <v>0</v>
      </c>
      <c r="K974" s="22">
        <v>0.063</v>
      </c>
      <c r="L974" s="22">
        <f>F974*K974</f>
        <v>5.1578100000000004</v>
      </c>
      <c r="M974" s="35" t="s">
        <v>1523</v>
      </c>
      <c r="N974" s="35" t="s">
        <v>7</v>
      </c>
      <c r="O974" s="22">
        <f>IF(N974="5",I974,0)</f>
        <v>0</v>
      </c>
      <c r="Z974" s="22">
        <f>IF(AD974=0,J974,0)</f>
        <v>0</v>
      </c>
      <c r="AA974" s="22">
        <f>IF(AD974=15,J974,0)</f>
        <v>0</v>
      </c>
      <c r="AB974" s="22">
        <f>IF(AD974=21,J974,0)</f>
        <v>0</v>
      </c>
      <c r="AD974" s="39">
        <v>15</v>
      </c>
      <c r="AE974" s="39">
        <f>G974*0.133024191295603</f>
        <v>0</v>
      </c>
      <c r="AF974" s="39">
        <f>G974*(1-0.133024191295603)</f>
        <v>0</v>
      </c>
      <c r="AM974" s="39">
        <f>F974*AE974</f>
        <v>0</v>
      </c>
      <c r="AN974" s="39">
        <f>F974*AF974</f>
        <v>0</v>
      </c>
      <c r="AO974" s="40" t="s">
        <v>1573</v>
      </c>
      <c r="AP974" s="40" t="s">
        <v>1602</v>
      </c>
      <c r="AQ974" s="31" t="s">
        <v>1611</v>
      </c>
    </row>
    <row r="975" spans="4:6" ht="10.5" customHeight="1">
      <c r="D975" s="17" t="s">
        <v>1458</v>
      </c>
      <c r="F975" s="23">
        <v>70.56</v>
      </c>
    </row>
    <row r="976" spans="4:6" ht="10.5" customHeight="1">
      <c r="D976" s="17" t="s">
        <v>1459</v>
      </c>
      <c r="F976" s="23">
        <v>7.56</v>
      </c>
    </row>
    <row r="977" spans="4:6" ht="10.5" customHeight="1">
      <c r="D977" s="17" t="s">
        <v>1460</v>
      </c>
      <c r="F977" s="23">
        <v>3.75</v>
      </c>
    </row>
    <row r="978" spans="1:43" ht="12.75">
      <c r="A978" s="5" t="s">
        <v>569</v>
      </c>
      <c r="B978" s="5" t="s">
        <v>592</v>
      </c>
      <c r="C978" s="5" t="s">
        <v>935</v>
      </c>
      <c r="D978" s="5" t="s">
        <v>1461</v>
      </c>
      <c r="E978" s="5" t="s">
        <v>1493</v>
      </c>
      <c r="F978" s="22">
        <v>30.24</v>
      </c>
      <c r="G978" s="22">
        <v>0</v>
      </c>
      <c r="H978" s="22">
        <f>F978*AE978</f>
        <v>0</v>
      </c>
      <c r="I978" s="22">
        <f>J978-H978</f>
        <v>0</v>
      </c>
      <c r="J978" s="22">
        <f>F978*G978</f>
        <v>0</v>
      </c>
      <c r="K978" s="22">
        <v>0.06804</v>
      </c>
      <c r="L978" s="22">
        <f>F978*K978</f>
        <v>2.0575296</v>
      </c>
      <c r="M978" s="35" t="s">
        <v>1523</v>
      </c>
      <c r="N978" s="35" t="s">
        <v>7</v>
      </c>
      <c r="O978" s="22">
        <f>IF(N978="5",I978,0)</f>
        <v>0</v>
      </c>
      <c r="Z978" s="22">
        <f>IF(AD978=0,J978,0)</f>
        <v>0</v>
      </c>
      <c r="AA978" s="22">
        <f>IF(AD978=15,J978,0)</f>
        <v>0</v>
      </c>
      <c r="AB978" s="22">
        <f>IF(AD978=21,J978,0)</f>
        <v>0</v>
      </c>
      <c r="AD978" s="39">
        <v>15</v>
      </c>
      <c r="AE978" s="39">
        <f>G978*0.234383116883117</f>
        <v>0</v>
      </c>
      <c r="AF978" s="39">
        <f>G978*(1-0.234383116883117)</f>
        <v>0</v>
      </c>
      <c r="AM978" s="39">
        <f>F978*AE978</f>
        <v>0</v>
      </c>
      <c r="AN978" s="39">
        <f>F978*AF978</f>
        <v>0</v>
      </c>
      <c r="AO978" s="40" t="s">
        <v>1573</v>
      </c>
      <c r="AP978" s="40" t="s">
        <v>1602</v>
      </c>
      <c r="AQ978" s="31" t="s">
        <v>1611</v>
      </c>
    </row>
    <row r="979" spans="4:6" ht="10.5" customHeight="1">
      <c r="D979" s="17" t="s">
        <v>1462</v>
      </c>
      <c r="F979" s="23">
        <v>30.24</v>
      </c>
    </row>
    <row r="980" spans="1:43" ht="12.75">
      <c r="A980" s="5" t="s">
        <v>570</v>
      </c>
      <c r="B980" s="5" t="s">
        <v>592</v>
      </c>
      <c r="C980" s="5" t="s">
        <v>936</v>
      </c>
      <c r="D980" s="5" t="s">
        <v>1463</v>
      </c>
      <c r="E980" s="5" t="s">
        <v>1493</v>
      </c>
      <c r="F980" s="22">
        <v>7.825</v>
      </c>
      <c r="G980" s="22">
        <v>0</v>
      </c>
      <c r="H980" s="22">
        <f>F980*AE980</f>
        <v>0</v>
      </c>
      <c r="I980" s="22">
        <f>J980-H980</f>
        <v>0</v>
      </c>
      <c r="J980" s="22">
        <f>F980*G980</f>
        <v>0</v>
      </c>
      <c r="K980" s="22">
        <v>0.064</v>
      </c>
      <c r="L980" s="22">
        <f>F980*K980</f>
        <v>0.5008</v>
      </c>
      <c r="M980" s="35" t="s">
        <v>1523</v>
      </c>
      <c r="N980" s="35" t="s">
        <v>7</v>
      </c>
      <c r="O980" s="22">
        <f>IF(N980="5",I980,0)</f>
        <v>0</v>
      </c>
      <c r="Z980" s="22">
        <f>IF(AD980=0,J980,0)</f>
        <v>0</v>
      </c>
      <c r="AA980" s="22">
        <f>IF(AD980=15,J980,0)</f>
        <v>0</v>
      </c>
      <c r="AB980" s="22">
        <f>IF(AD980=21,J980,0)</f>
        <v>0</v>
      </c>
      <c r="AD980" s="39">
        <v>15</v>
      </c>
      <c r="AE980" s="39">
        <f>G980*0.115863746958637</f>
        <v>0</v>
      </c>
      <c r="AF980" s="39">
        <f>G980*(1-0.115863746958637)</f>
        <v>0</v>
      </c>
      <c r="AM980" s="39">
        <f>F980*AE980</f>
        <v>0</v>
      </c>
      <c r="AN980" s="39">
        <f>F980*AF980</f>
        <v>0</v>
      </c>
      <c r="AO980" s="40" t="s">
        <v>1573</v>
      </c>
      <c r="AP980" s="40" t="s">
        <v>1602</v>
      </c>
      <c r="AQ980" s="31" t="s">
        <v>1611</v>
      </c>
    </row>
    <row r="981" spans="4:6" ht="10.5" customHeight="1">
      <c r="D981" s="17" t="s">
        <v>1464</v>
      </c>
      <c r="F981" s="23">
        <v>3.2</v>
      </c>
    </row>
    <row r="982" spans="4:6" ht="10.5" customHeight="1">
      <c r="D982" s="17" t="s">
        <v>1465</v>
      </c>
      <c r="F982" s="23">
        <v>4.625</v>
      </c>
    </row>
    <row r="983" spans="1:37" ht="12.75">
      <c r="A983" s="4"/>
      <c r="B983" s="14" t="s">
        <v>592</v>
      </c>
      <c r="C983" s="14" t="s">
        <v>647</v>
      </c>
      <c r="D983" s="104" t="s">
        <v>1029</v>
      </c>
      <c r="E983" s="105"/>
      <c r="F983" s="105"/>
      <c r="G983" s="105"/>
      <c r="H983" s="42">
        <f>SUM(H984:H984)</f>
        <v>0</v>
      </c>
      <c r="I983" s="42">
        <f>SUM(I984:I984)</f>
        <v>0</v>
      </c>
      <c r="J983" s="42">
        <f>H983+I983</f>
        <v>0</v>
      </c>
      <c r="K983" s="31"/>
      <c r="L983" s="42">
        <f>SUM(L984:L984)</f>
        <v>0</v>
      </c>
      <c r="M983" s="31"/>
      <c r="P983" s="42">
        <f>IF(Q983="PR",J983,SUM(O984:O984))</f>
        <v>0</v>
      </c>
      <c r="Q983" s="31" t="s">
        <v>1529</v>
      </c>
      <c r="R983" s="42">
        <f>IF(Q983="HS",H983,0)</f>
        <v>0</v>
      </c>
      <c r="S983" s="42">
        <f>IF(Q983="HS",I983-P983,0)</f>
        <v>0</v>
      </c>
      <c r="T983" s="42">
        <f>IF(Q983="PS",H983,0)</f>
        <v>0</v>
      </c>
      <c r="U983" s="42">
        <f>IF(Q983="PS",I983-P983,0)</f>
        <v>0</v>
      </c>
      <c r="V983" s="42">
        <f>IF(Q983="MP",H983,0)</f>
        <v>0</v>
      </c>
      <c r="W983" s="42">
        <f>IF(Q983="MP",I983-P983,0)</f>
        <v>0</v>
      </c>
      <c r="X983" s="42">
        <f>IF(Q983="OM",H983,0)</f>
        <v>0</v>
      </c>
      <c r="Y983" s="31" t="s">
        <v>592</v>
      </c>
      <c r="AI983" s="42">
        <f>SUM(Z984:Z984)</f>
        <v>0</v>
      </c>
      <c r="AJ983" s="42">
        <f>SUM(AA984:AA984)</f>
        <v>0</v>
      </c>
      <c r="AK983" s="42">
        <f>SUM(AB984:AB984)</f>
        <v>0</v>
      </c>
    </row>
    <row r="984" spans="1:43" ht="12.75">
      <c r="A984" s="5" t="s">
        <v>571</v>
      </c>
      <c r="B984" s="5" t="s">
        <v>592</v>
      </c>
      <c r="C984" s="5" t="s">
        <v>810</v>
      </c>
      <c r="D984" s="5" t="s">
        <v>1273</v>
      </c>
      <c r="E984" s="5" t="s">
        <v>1498</v>
      </c>
      <c r="F984" s="22">
        <v>23.27</v>
      </c>
      <c r="G984" s="22">
        <v>0</v>
      </c>
      <c r="H984" s="22">
        <f>F984*AE984</f>
        <v>0</v>
      </c>
      <c r="I984" s="22">
        <f>J984-H984</f>
        <v>0</v>
      </c>
      <c r="J984" s="22">
        <f>F984*G984</f>
        <v>0</v>
      </c>
      <c r="K984" s="22">
        <v>0</v>
      </c>
      <c r="L984" s="22">
        <f>F984*K984</f>
        <v>0</v>
      </c>
      <c r="M984" s="35" t="s">
        <v>1523</v>
      </c>
      <c r="N984" s="35" t="s">
        <v>11</v>
      </c>
      <c r="O984" s="22">
        <f>IF(N984="5",I984,0)</f>
        <v>0</v>
      </c>
      <c r="Z984" s="22">
        <f>IF(AD984=0,J984,0)</f>
        <v>0</v>
      </c>
      <c r="AA984" s="22">
        <f>IF(AD984=15,J984,0)</f>
        <v>0</v>
      </c>
      <c r="AB984" s="22">
        <f>IF(AD984=21,J984,0)</f>
        <v>0</v>
      </c>
      <c r="AD984" s="39">
        <v>15</v>
      </c>
      <c r="AE984" s="39">
        <f>G984*0</f>
        <v>0</v>
      </c>
      <c r="AF984" s="39">
        <f>G984*(1-0)</f>
        <v>0</v>
      </c>
      <c r="AM984" s="39">
        <f>F984*AE984</f>
        <v>0</v>
      </c>
      <c r="AN984" s="39">
        <f>F984*AF984</f>
        <v>0</v>
      </c>
      <c r="AO984" s="40" t="s">
        <v>1553</v>
      </c>
      <c r="AP984" s="40" t="s">
        <v>1602</v>
      </c>
      <c r="AQ984" s="31" t="s">
        <v>1611</v>
      </c>
    </row>
    <row r="985" spans="1:37" ht="12.75">
      <c r="A985" s="4"/>
      <c r="B985" s="14" t="s">
        <v>592</v>
      </c>
      <c r="C985" s="14" t="s">
        <v>813</v>
      </c>
      <c r="D985" s="104" t="s">
        <v>978</v>
      </c>
      <c r="E985" s="105"/>
      <c r="F985" s="105"/>
      <c r="G985" s="105"/>
      <c r="H985" s="42">
        <f>SUM(H986:H986)</f>
        <v>0</v>
      </c>
      <c r="I985" s="42">
        <f>SUM(I986:I986)</f>
        <v>0</v>
      </c>
      <c r="J985" s="42">
        <f>H985+I985</f>
        <v>0</v>
      </c>
      <c r="K985" s="31"/>
      <c r="L985" s="42">
        <f>SUM(L986:L986)</f>
        <v>0</v>
      </c>
      <c r="M985" s="31"/>
      <c r="P985" s="42">
        <f>IF(Q985="PR",J985,SUM(O986:O986))</f>
        <v>0</v>
      </c>
      <c r="Q985" s="31" t="s">
        <v>1529</v>
      </c>
      <c r="R985" s="42">
        <f>IF(Q985="HS",H985,0)</f>
        <v>0</v>
      </c>
      <c r="S985" s="42">
        <f>IF(Q985="HS",I985-P985,0)</f>
        <v>0</v>
      </c>
      <c r="T985" s="42">
        <f>IF(Q985="PS",H985,0)</f>
        <v>0</v>
      </c>
      <c r="U985" s="42">
        <f>IF(Q985="PS",I985-P985,0)</f>
        <v>0</v>
      </c>
      <c r="V985" s="42">
        <f>IF(Q985="MP",H985,0)</f>
        <v>0</v>
      </c>
      <c r="W985" s="42">
        <f>IF(Q985="MP",I985-P985,0)</f>
        <v>0</v>
      </c>
      <c r="X985" s="42">
        <f>IF(Q985="OM",H985,0)</f>
        <v>0</v>
      </c>
      <c r="Y985" s="31" t="s">
        <v>592</v>
      </c>
      <c r="AI985" s="42">
        <f>SUM(Z986:Z986)</f>
        <v>0</v>
      </c>
      <c r="AJ985" s="42">
        <f>SUM(AA986:AA986)</f>
        <v>0</v>
      </c>
      <c r="AK985" s="42">
        <f>SUM(AB986:AB986)</f>
        <v>0</v>
      </c>
    </row>
    <row r="986" spans="1:43" ht="12.75">
      <c r="A986" s="5" t="s">
        <v>572</v>
      </c>
      <c r="B986" s="5" t="s">
        <v>592</v>
      </c>
      <c r="C986" s="5" t="s">
        <v>814</v>
      </c>
      <c r="D986" s="5" t="s">
        <v>1275</v>
      </c>
      <c r="E986" s="5" t="s">
        <v>1499</v>
      </c>
      <c r="F986" s="22">
        <v>1</v>
      </c>
      <c r="G986" s="22">
        <v>0</v>
      </c>
      <c r="H986" s="22">
        <f>F986*AE986</f>
        <v>0</v>
      </c>
      <c r="I986" s="22">
        <f>J986-H986</f>
        <v>0</v>
      </c>
      <c r="J986" s="22">
        <f>F986*G986</f>
        <v>0</v>
      </c>
      <c r="K986" s="22">
        <v>0</v>
      </c>
      <c r="L986" s="22">
        <f>F986*K986</f>
        <v>0</v>
      </c>
      <c r="M986" s="35" t="s">
        <v>1523</v>
      </c>
      <c r="N986" s="35" t="s">
        <v>11</v>
      </c>
      <c r="O986" s="22">
        <f>IF(N986="5",I986,0)</f>
        <v>0</v>
      </c>
      <c r="Z986" s="22">
        <f>IF(AD986=0,J986,0)</f>
        <v>0</v>
      </c>
      <c r="AA986" s="22">
        <f>IF(AD986=15,J986,0)</f>
        <v>0</v>
      </c>
      <c r="AB986" s="22">
        <f>IF(AD986=21,J986,0)</f>
        <v>0</v>
      </c>
      <c r="AD986" s="39">
        <v>15</v>
      </c>
      <c r="AE986" s="39">
        <f>G986*0</f>
        <v>0</v>
      </c>
      <c r="AF986" s="39">
        <f>G986*(1-0)</f>
        <v>0</v>
      </c>
      <c r="AM986" s="39">
        <f>F986*AE986</f>
        <v>0</v>
      </c>
      <c r="AN986" s="39">
        <f>F986*AF986</f>
        <v>0</v>
      </c>
      <c r="AO986" s="40" t="s">
        <v>1576</v>
      </c>
      <c r="AP986" s="40" t="s">
        <v>1602</v>
      </c>
      <c r="AQ986" s="31" t="s">
        <v>1611</v>
      </c>
    </row>
    <row r="987" spans="1:37" ht="12.75">
      <c r="A987" s="4"/>
      <c r="B987" s="14" t="s">
        <v>592</v>
      </c>
      <c r="C987" s="14" t="s">
        <v>937</v>
      </c>
      <c r="D987" s="104" t="s">
        <v>1402</v>
      </c>
      <c r="E987" s="105"/>
      <c r="F987" s="105"/>
      <c r="G987" s="105"/>
      <c r="H987" s="42">
        <f>SUM(H988:H988)</f>
        <v>0</v>
      </c>
      <c r="I987" s="42">
        <f>SUM(I988:I988)</f>
        <v>0</v>
      </c>
      <c r="J987" s="42">
        <f>H987+I987</f>
        <v>0</v>
      </c>
      <c r="K987" s="31"/>
      <c r="L987" s="42">
        <f>SUM(L988:L988)</f>
        <v>0</v>
      </c>
      <c r="M987" s="31"/>
      <c r="P987" s="42">
        <f>IF(Q987="PR",J987,SUM(O988:O988))</f>
        <v>0</v>
      </c>
      <c r="Q987" s="31" t="s">
        <v>1529</v>
      </c>
      <c r="R987" s="42">
        <f>IF(Q987="HS",H987,0)</f>
        <v>0</v>
      </c>
      <c r="S987" s="42">
        <f>IF(Q987="HS",I987-P987,0)</f>
        <v>0</v>
      </c>
      <c r="T987" s="42">
        <f>IF(Q987="PS",H987,0)</f>
        <v>0</v>
      </c>
      <c r="U987" s="42">
        <f>IF(Q987="PS",I987-P987,0)</f>
        <v>0</v>
      </c>
      <c r="V987" s="42">
        <f>IF(Q987="MP",H987,0)</f>
        <v>0</v>
      </c>
      <c r="W987" s="42">
        <f>IF(Q987="MP",I987-P987,0)</f>
        <v>0</v>
      </c>
      <c r="X987" s="42">
        <f>IF(Q987="OM",H987,0)</f>
        <v>0</v>
      </c>
      <c r="Y987" s="31" t="s">
        <v>592</v>
      </c>
      <c r="AI987" s="42">
        <f>SUM(Z988:Z988)</f>
        <v>0</v>
      </c>
      <c r="AJ987" s="42">
        <f>SUM(AA988:AA988)</f>
        <v>0</v>
      </c>
      <c r="AK987" s="42">
        <f>SUM(AB988:AB988)</f>
        <v>0</v>
      </c>
    </row>
    <row r="988" spans="1:43" ht="12.75">
      <c r="A988" s="5" t="s">
        <v>573</v>
      </c>
      <c r="B988" s="5" t="s">
        <v>592</v>
      </c>
      <c r="C988" s="5" t="s">
        <v>938</v>
      </c>
      <c r="D988" s="5" t="s">
        <v>1466</v>
      </c>
      <c r="E988" s="5" t="s">
        <v>1499</v>
      </c>
      <c r="F988" s="22">
        <v>1</v>
      </c>
      <c r="G988" s="22">
        <v>0</v>
      </c>
      <c r="H988" s="22">
        <f>F988*AE988</f>
        <v>0</v>
      </c>
      <c r="I988" s="22">
        <f>J988-H988</f>
        <v>0</v>
      </c>
      <c r="J988" s="22">
        <f>F988*G988</f>
        <v>0</v>
      </c>
      <c r="K988" s="22">
        <v>0</v>
      </c>
      <c r="L988" s="22">
        <f>F988*K988</f>
        <v>0</v>
      </c>
      <c r="M988" s="35" t="s">
        <v>1523</v>
      </c>
      <c r="N988" s="35" t="s">
        <v>11</v>
      </c>
      <c r="O988" s="22">
        <f>IF(N988="5",I988,0)</f>
        <v>0</v>
      </c>
      <c r="Z988" s="22">
        <f>IF(AD988=0,J988,0)</f>
        <v>0</v>
      </c>
      <c r="AA988" s="22">
        <f>IF(AD988=15,J988,0)</f>
        <v>0</v>
      </c>
      <c r="AB988" s="22">
        <f>IF(AD988=21,J988,0)</f>
        <v>0</v>
      </c>
      <c r="AD988" s="39">
        <v>15</v>
      </c>
      <c r="AE988" s="39">
        <f>G988*0</f>
        <v>0</v>
      </c>
      <c r="AF988" s="39">
        <f>G988*(1-0)</f>
        <v>0</v>
      </c>
      <c r="AM988" s="39">
        <f>F988*AE988</f>
        <v>0</v>
      </c>
      <c r="AN988" s="39">
        <f>F988*AF988</f>
        <v>0</v>
      </c>
      <c r="AO988" s="40" t="s">
        <v>1593</v>
      </c>
      <c r="AP988" s="40" t="s">
        <v>1602</v>
      </c>
      <c r="AQ988" s="31" t="s">
        <v>1611</v>
      </c>
    </row>
    <row r="989" spans="1:37" ht="12.75">
      <c r="A989" s="4"/>
      <c r="B989" s="14" t="s">
        <v>592</v>
      </c>
      <c r="C989" s="14" t="s">
        <v>939</v>
      </c>
      <c r="D989" s="104" t="s">
        <v>1407</v>
      </c>
      <c r="E989" s="105"/>
      <c r="F989" s="105"/>
      <c r="G989" s="105"/>
      <c r="H989" s="42">
        <f>SUM(H990:H990)</f>
        <v>0</v>
      </c>
      <c r="I989" s="42">
        <f>SUM(I990:I990)</f>
        <v>0</v>
      </c>
      <c r="J989" s="42">
        <f>H989+I989</f>
        <v>0</v>
      </c>
      <c r="K989" s="31"/>
      <c r="L989" s="42">
        <f>SUM(L990:L990)</f>
        <v>0</v>
      </c>
      <c r="M989" s="31"/>
      <c r="P989" s="42">
        <f>IF(Q989="PR",J989,SUM(O990:O990))</f>
        <v>0</v>
      </c>
      <c r="Q989" s="31" t="s">
        <v>1529</v>
      </c>
      <c r="R989" s="42">
        <f>IF(Q989="HS",H989,0)</f>
        <v>0</v>
      </c>
      <c r="S989" s="42">
        <f>IF(Q989="HS",I989-P989,0)</f>
        <v>0</v>
      </c>
      <c r="T989" s="42">
        <f>IF(Q989="PS",H989,0)</f>
        <v>0</v>
      </c>
      <c r="U989" s="42">
        <f>IF(Q989="PS",I989-P989,0)</f>
        <v>0</v>
      </c>
      <c r="V989" s="42">
        <f>IF(Q989="MP",H989,0)</f>
        <v>0</v>
      </c>
      <c r="W989" s="42">
        <f>IF(Q989="MP",I989-P989,0)</f>
        <v>0</v>
      </c>
      <c r="X989" s="42">
        <f>IF(Q989="OM",H989,0)</f>
        <v>0</v>
      </c>
      <c r="Y989" s="31" t="s">
        <v>592</v>
      </c>
      <c r="AI989" s="42">
        <f>SUM(Z990:Z990)</f>
        <v>0</v>
      </c>
      <c r="AJ989" s="42">
        <f>SUM(AA990:AA990)</f>
        <v>0</v>
      </c>
      <c r="AK989" s="42">
        <f>SUM(AB990:AB990)</f>
        <v>0</v>
      </c>
    </row>
    <row r="990" spans="1:43" ht="12.75">
      <c r="A990" s="5" t="s">
        <v>574</v>
      </c>
      <c r="B990" s="5" t="s">
        <v>592</v>
      </c>
      <c r="C990" s="5" t="s">
        <v>940</v>
      </c>
      <c r="D990" s="5" t="s">
        <v>1467</v>
      </c>
      <c r="E990" s="5" t="s">
        <v>1499</v>
      </c>
      <c r="F990" s="22">
        <v>1</v>
      </c>
      <c r="G990" s="22">
        <v>0</v>
      </c>
      <c r="H990" s="22">
        <f>F990*AE990</f>
        <v>0</v>
      </c>
      <c r="I990" s="22">
        <f>J990-H990</f>
        <v>0</v>
      </c>
      <c r="J990" s="22">
        <f>F990*G990</f>
        <v>0</v>
      </c>
      <c r="K990" s="22">
        <v>0</v>
      </c>
      <c r="L990" s="22">
        <f>F990*K990</f>
        <v>0</v>
      </c>
      <c r="M990" s="35" t="s">
        <v>1523</v>
      </c>
      <c r="N990" s="35" t="s">
        <v>11</v>
      </c>
      <c r="O990" s="22">
        <f>IF(N990="5",I990,0)</f>
        <v>0</v>
      </c>
      <c r="Z990" s="22">
        <f>IF(AD990=0,J990,0)</f>
        <v>0</v>
      </c>
      <c r="AA990" s="22">
        <f>IF(AD990=15,J990,0)</f>
        <v>0</v>
      </c>
      <c r="AB990" s="22">
        <f>IF(AD990=21,J990,0)</f>
        <v>0</v>
      </c>
      <c r="AD990" s="39">
        <v>15</v>
      </c>
      <c r="AE990" s="39">
        <f>G990*0</f>
        <v>0</v>
      </c>
      <c r="AF990" s="39">
        <f>G990*(1-0)</f>
        <v>0</v>
      </c>
      <c r="AM990" s="39">
        <f>F990*AE990</f>
        <v>0</v>
      </c>
      <c r="AN990" s="39">
        <f>F990*AF990</f>
        <v>0</v>
      </c>
      <c r="AO990" s="40" t="s">
        <v>1594</v>
      </c>
      <c r="AP990" s="40" t="s">
        <v>1602</v>
      </c>
      <c r="AQ990" s="31" t="s">
        <v>1611</v>
      </c>
    </row>
    <row r="991" spans="1:37" ht="12.75">
      <c r="A991" s="4"/>
      <c r="B991" s="14" t="s">
        <v>592</v>
      </c>
      <c r="C991" s="14" t="s">
        <v>831</v>
      </c>
      <c r="D991" s="104" t="s">
        <v>1211</v>
      </c>
      <c r="E991" s="105"/>
      <c r="F991" s="105"/>
      <c r="G991" s="105"/>
      <c r="H991" s="42">
        <f>SUM(H992:H992)</f>
        <v>0</v>
      </c>
      <c r="I991" s="42">
        <f>SUM(I992:I992)</f>
        <v>0</v>
      </c>
      <c r="J991" s="42">
        <f>H991+I991</f>
        <v>0</v>
      </c>
      <c r="K991" s="31"/>
      <c r="L991" s="42">
        <f>SUM(L992:L992)</f>
        <v>0</v>
      </c>
      <c r="M991" s="31"/>
      <c r="P991" s="42">
        <f>IF(Q991="PR",J991,SUM(O992:O992))</f>
        <v>0</v>
      </c>
      <c r="Q991" s="31" t="s">
        <v>1529</v>
      </c>
      <c r="R991" s="42">
        <f>IF(Q991="HS",H991,0)</f>
        <v>0</v>
      </c>
      <c r="S991" s="42">
        <f>IF(Q991="HS",I991-P991,0)</f>
        <v>0</v>
      </c>
      <c r="T991" s="42">
        <f>IF(Q991="PS",H991,0)</f>
        <v>0</v>
      </c>
      <c r="U991" s="42">
        <f>IF(Q991="PS",I991-P991,0)</f>
        <v>0</v>
      </c>
      <c r="V991" s="42">
        <f>IF(Q991="MP",H991,0)</f>
        <v>0</v>
      </c>
      <c r="W991" s="42">
        <f>IF(Q991="MP",I991-P991,0)</f>
        <v>0</v>
      </c>
      <c r="X991" s="42">
        <f>IF(Q991="OM",H991,0)</f>
        <v>0</v>
      </c>
      <c r="Y991" s="31" t="s">
        <v>592</v>
      </c>
      <c r="AI991" s="42">
        <f>SUM(Z992:Z992)</f>
        <v>0</v>
      </c>
      <c r="AJ991" s="42">
        <f>SUM(AA992:AA992)</f>
        <v>0</v>
      </c>
      <c r="AK991" s="42">
        <f>SUM(AB992:AB992)</f>
        <v>0</v>
      </c>
    </row>
    <row r="992" spans="1:43" ht="12.75">
      <c r="A992" s="5" t="s">
        <v>575</v>
      </c>
      <c r="B992" s="5" t="s">
        <v>592</v>
      </c>
      <c r="C992" s="5" t="s">
        <v>832</v>
      </c>
      <c r="D992" s="5" t="s">
        <v>1286</v>
      </c>
      <c r="E992" s="5" t="s">
        <v>1499</v>
      </c>
      <c r="F992" s="22">
        <v>1</v>
      </c>
      <c r="G992" s="22">
        <v>0</v>
      </c>
      <c r="H992" s="22">
        <f>F992*AE992</f>
        <v>0</v>
      </c>
      <c r="I992" s="22">
        <f>J992-H992</f>
        <v>0</v>
      </c>
      <c r="J992" s="22">
        <f>F992*G992</f>
        <v>0</v>
      </c>
      <c r="K992" s="22">
        <v>0</v>
      </c>
      <c r="L992" s="22">
        <f>F992*K992</f>
        <v>0</v>
      </c>
      <c r="M992" s="35" t="s">
        <v>1523</v>
      </c>
      <c r="N992" s="35" t="s">
        <v>11</v>
      </c>
      <c r="O992" s="22">
        <f>IF(N992="5",I992,0)</f>
        <v>0</v>
      </c>
      <c r="Z992" s="22">
        <f>IF(AD992=0,J992,0)</f>
        <v>0</v>
      </c>
      <c r="AA992" s="22">
        <f>IF(AD992=15,J992,0)</f>
        <v>0</v>
      </c>
      <c r="AB992" s="22">
        <f>IF(AD992=21,J992,0)</f>
        <v>0</v>
      </c>
      <c r="AD992" s="39">
        <v>15</v>
      </c>
      <c r="AE992" s="39">
        <f>G992*0</f>
        <v>0</v>
      </c>
      <c r="AF992" s="39">
        <f>G992*(1-0)</f>
        <v>0</v>
      </c>
      <c r="AM992" s="39">
        <f>F992*AE992</f>
        <v>0</v>
      </c>
      <c r="AN992" s="39">
        <f>F992*AF992</f>
        <v>0</v>
      </c>
      <c r="AO992" s="40" t="s">
        <v>1584</v>
      </c>
      <c r="AP992" s="40" t="s">
        <v>1602</v>
      </c>
      <c r="AQ992" s="31" t="s">
        <v>1611</v>
      </c>
    </row>
    <row r="993" spans="1:37" ht="12.75">
      <c r="A993" s="4"/>
      <c r="B993" s="14" t="s">
        <v>592</v>
      </c>
      <c r="C993" s="14" t="s">
        <v>659</v>
      </c>
      <c r="D993" s="104" t="s">
        <v>1036</v>
      </c>
      <c r="E993" s="105"/>
      <c r="F993" s="105"/>
      <c r="G993" s="105"/>
      <c r="H993" s="42">
        <f>SUM(H994:H994)</f>
        <v>0</v>
      </c>
      <c r="I993" s="42">
        <f>SUM(I994:I994)</f>
        <v>0</v>
      </c>
      <c r="J993" s="42">
        <f>H993+I993</f>
        <v>0</v>
      </c>
      <c r="K993" s="31"/>
      <c r="L993" s="42">
        <f>SUM(L994:L994)</f>
        <v>0.29943</v>
      </c>
      <c r="M993" s="31"/>
      <c r="P993" s="42">
        <f>IF(Q993="PR",J993,SUM(O994:O994))</f>
        <v>0</v>
      </c>
      <c r="Q993" s="31" t="s">
        <v>1531</v>
      </c>
      <c r="R993" s="42">
        <f>IF(Q993="HS",H993,0)</f>
        <v>0</v>
      </c>
      <c r="S993" s="42">
        <f>IF(Q993="HS",I993-P993,0)</f>
        <v>0</v>
      </c>
      <c r="T993" s="42">
        <f>IF(Q993="PS",H993,0)</f>
        <v>0</v>
      </c>
      <c r="U993" s="42">
        <f>IF(Q993="PS",I993-P993,0)</f>
        <v>0</v>
      </c>
      <c r="V993" s="42">
        <f>IF(Q993="MP",H993,0)</f>
        <v>0</v>
      </c>
      <c r="W993" s="42">
        <f>IF(Q993="MP",I993-P993,0)</f>
        <v>0</v>
      </c>
      <c r="X993" s="42">
        <f>IF(Q993="OM",H993,0)</f>
        <v>0</v>
      </c>
      <c r="Y993" s="31" t="s">
        <v>592</v>
      </c>
      <c r="AI993" s="42">
        <f>SUM(Z994:Z994)</f>
        <v>0</v>
      </c>
      <c r="AJ993" s="42">
        <f>SUM(AA994:AA994)</f>
        <v>0</v>
      </c>
      <c r="AK993" s="42">
        <f>SUM(AB994:AB994)</f>
        <v>0</v>
      </c>
    </row>
    <row r="994" spans="1:43" ht="12.75">
      <c r="A994" s="5" t="s">
        <v>576</v>
      </c>
      <c r="B994" s="5" t="s">
        <v>592</v>
      </c>
      <c r="C994" s="5" t="s">
        <v>941</v>
      </c>
      <c r="D994" s="5" t="s">
        <v>1468</v>
      </c>
      <c r="E994" s="5" t="s">
        <v>1503</v>
      </c>
      <c r="F994" s="22">
        <v>1</v>
      </c>
      <c r="G994" s="22">
        <v>0</v>
      </c>
      <c r="H994" s="22">
        <f>F994*AE994</f>
        <v>0</v>
      </c>
      <c r="I994" s="22">
        <f>J994-H994</f>
        <v>0</v>
      </c>
      <c r="J994" s="22">
        <f>F994*G994</f>
        <v>0</v>
      </c>
      <c r="K994" s="22">
        <v>0.29943</v>
      </c>
      <c r="L994" s="22">
        <f>F994*K994</f>
        <v>0.29943</v>
      </c>
      <c r="M994" s="35" t="s">
        <v>1523</v>
      </c>
      <c r="N994" s="35" t="s">
        <v>9</v>
      </c>
      <c r="O994" s="22">
        <f>IF(N994="5",I994,0)</f>
        <v>0</v>
      </c>
      <c r="Z994" s="22">
        <f>IF(AD994=0,J994,0)</f>
        <v>0</v>
      </c>
      <c r="AA994" s="22">
        <f>IF(AD994=15,J994,0)</f>
        <v>0</v>
      </c>
      <c r="AB994" s="22">
        <f>IF(AD994=21,J994,0)</f>
        <v>0</v>
      </c>
      <c r="AD994" s="39">
        <v>15</v>
      </c>
      <c r="AE994" s="39">
        <f>G994*0.220297327286969</f>
        <v>0</v>
      </c>
      <c r="AF994" s="39">
        <f>G994*(1-0.220297327286969)</f>
        <v>0</v>
      </c>
      <c r="AM994" s="39">
        <f>F994*AE994</f>
        <v>0</v>
      </c>
      <c r="AN994" s="39">
        <f>F994*AF994</f>
        <v>0</v>
      </c>
      <c r="AO994" s="40" t="s">
        <v>1559</v>
      </c>
      <c r="AP994" s="40" t="s">
        <v>1602</v>
      </c>
      <c r="AQ994" s="31" t="s">
        <v>1611</v>
      </c>
    </row>
    <row r="995" ht="26.25">
      <c r="D995" s="18" t="s">
        <v>1469</v>
      </c>
    </row>
    <row r="996" spans="1:13" ht="12.75">
      <c r="A996" s="7"/>
      <c r="B996" s="15" t="s">
        <v>593</v>
      </c>
      <c r="C996" s="15"/>
      <c r="D996" s="106" t="s">
        <v>1470</v>
      </c>
      <c r="E996" s="107"/>
      <c r="F996" s="107"/>
      <c r="G996" s="107"/>
      <c r="H996" s="43">
        <f>H997</f>
        <v>0</v>
      </c>
      <c r="I996" s="43">
        <f>I997</f>
        <v>0</v>
      </c>
      <c r="J996" s="43">
        <f>H996+I996</f>
        <v>0</v>
      </c>
      <c r="K996" s="32"/>
      <c r="L996" s="43">
        <f>L997</f>
        <v>0</v>
      </c>
      <c r="M996" s="32"/>
    </row>
    <row r="997" spans="1:37" ht="12.75">
      <c r="A997" s="4"/>
      <c r="B997" s="14" t="s">
        <v>593</v>
      </c>
      <c r="C997" s="14" t="s">
        <v>942</v>
      </c>
      <c r="D997" s="104" t="s">
        <v>1471</v>
      </c>
      <c r="E997" s="105"/>
      <c r="F997" s="105"/>
      <c r="G997" s="105"/>
      <c r="H997" s="42">
        <f>SUM(H998:H1012)</f>
        <v>0</v>
      </c>
      <c r="I997" s="42">
        <f>SUM(I998:I1012)</f>
        <v>0</v>
      </c>
      <c r="J997" s="42">
        <f>H997+I997</f>
        <v>0</v>
      </c>
      <c r="K997" s="31"/>
      <c r="L997" s="42">
        <f>SUM(L998:L1012)</f>
        <v>0</v>
      </c>
      <c r="M997" s="31"/>
      <c r="P997" s="42">
        <f>IF(Q997="PR",J997,SUM(O998:O1012))</f>
        <v>0</v>
      </c>
      <c r="Q997" s="31" t="s">
        <v>1529</v>
      </c>
      <c r="R997" s="42">
        <f>IF(Q997="HS",H997,0)</f>
        <v>0</v>
      </c>
      <c r="S997" s="42">
        <f>IF(Q997="HS",I997-P997,0)</f>
        <v>0</v>
      </c>
      <c r="T997" s="42">
        <f>IF(Q997="PS",H997,0)</f>
        <v>0</v>
      </c>
      <c r="U997" s="42">
        <f>IF(Q997="PS",I997-P997,0)</f>
        <v>0</v>
      </c>
      <c r="V997" s="42">
        <f>IF(Q997="MP",H997,0)</f>
        <v>0</v>
      </c>
      <c r="W997" s="42">
        <f>IF(Q997="MP",I997-P997,0)</f>
        <v>0</v>
      </c>
      <c r="X997" s="42">
        <f>IF(Q997="OM",H997,0)</f>
        <v>0</v>
      </c>
      <c r="Y997" s="31" t="s">
        <v>593</v>
      </c>
      <c r="AI997" s="42">
        <f>SUM(Z998:Z1012)</f>
        <v>0</v>
      </c>
      <c r="AJ997" s="42">
        <f>SUM(AA998:AA1012)</f>
        <v>0</v>
      </c>
      <c r="AK997" s="42">
        <f>SUM(AB998:AB1012)</f>
        <v>0</v>
      </c>
    </row>
    <row r="998" spans="1:43" ht="12.75">
      <c r="A998" s="5" t="s">
        <v>577</v>
      </c>
      <c r="B998" s="5" t="s">
        <v>593</v>
      </c>
      <c r="C998" s="5" t="s">
        <v>943</v>
      </c>
      <c r="D998" s="5" t="s">
        <v>1472</v>
      </c>
      <c r="E998" s="5" t="s">
        <v>1499</v>
      </c>
      <c r="F998" s="22">
        <v>2</v>
      </c>
      <c r="G998" s="22">
        <v>0</v>
      </c>
      <c r="H998" s="22">
        <f>F998*AE998</f>
        <v>0</v>
      </c>
      <c r="I998" s="22">
        <f>J998-H998</f>
        <v>0</v>
      </c>
      <c r="J998" s="22">
        <f>F998*G998</f>
        <v>0</v>
      </c>
      <c r="K998" s="22">
        <v>0</v>
      </c>
      <c r="L998" s="22">
        <f>F998*K998</f>
        <v>0</v>
      </c>
      <c r="M998" s="35" t="s">
        <v>1525</v>
      </c>
      <c r="N998" s="35" t="s">
        <v>7</v>
      </c>
      <c r="O998" s="22">
        <f>IF(N998="5",I998,0)</f>
        <v>0</v>
      </c>
      <c r="Z998" s="22">
        <f>IF(AD998=0,J998,0)</f>
        <v>0</v>
      </c>
      <c r="AA998" s="22">
        <f>IF(AD998=15,J998,0)</f>
        <v>0</v>
      </c>
      <c r="AB998" s="22">
        <f>IF(AD998=21,J998,0)</f>
        <v>0</v>
      </c>
      <c r="AD998" s="39">
        <v>15</v>
      </c>
      <c r="AE998" s="39">
        <f>G998*0</f>
        <v>0</v>
      </c>
      <c r="AF998" s="39">
        <f>G998*(1-0)</f>
        <v>0</v>
      </c>
      <c r="AM998" s="39">
        <f>F998*AE998</f>
        <v>0</v>
      </c>
      <c r="AN998" s="39">
        <f>F998*AF998</f>
        <v>0</v>
      </c>
      <c r="AO998" s="40" t="s">
        <v>1595</v>
      </c>
      <c r="AP998" s="40" t="s">
        <v>1606</v>
      </c>
      <c r="AQ998" s="31" t="s">
        <v>1612</v>
      </c>
    </row>
    <row r="999" ht="12.75">
      <c r="D999" s="18" t="s">
        <v>1473</v>
      </c>
    </row>
    <row r="1000" spans="1:43" ht="12.75">
      <c r="A1000" s="5" t="s">
        <v>578</v>
      </c>
      <c r="B1000" s="5" t="s">
        <v>593</v>
      </c>
      <c r="C1000" s="5" t="s">
        <v>944</v>
      </c>
      <c r="D1000" s="5" t="s">
        <v>1474</v>
      </c>
      <c r="E1000" s="5" t="s">
        <v>1499</v>
      </c>
      <c r="F1000" s="22">
        <v>2</v>
      </c>
      <c r="G1000" s="22">
        <v>0</v>
      </c>
      <c r="H1000" s="22">
        <f>F1000*AE1000</f>
        <v>0</v>
      </c>
      <c r="I1000" s="22">
        <f>J1000-H1000</f>
        <v>0</v>
      </c>
      <c r="J1000" s="22">
        <f>F1000*G1000</f>
        <v>0</v>
      </c>
      <c r="K1000" s="22">
        <v>0</v>
      </c>
      <c r="L1000" s="22">
        <f>F1000*K1000</f>
        <v>0</v>
      </c>
      <c r="M1000" s="35" t="s">
        <v>1525</v>
      </c>
      <c r="N1000" s="35" t="s">
        <v>7</v>
      </c>
      <c r="O1000" s="22">
        <f>IF(N1000="5",I1000,0)</f>
        <v>0</v>
      </c>
      <c r="Z1000" s="22">
        <f>IF(AD1000=0,J1000,0)</f>
        <v>0</v>
      </c>
      <c r="AA1000" s="22">
        <f>IF(AD1000=15,J1000,0)</f>
        <v>0</v>
      </c>
      <c r="AB1000" s="22">
        <f>IF(AD1000=21,J1000,0)</f>
        <v>0</v>
      </c>
      <c r="AD1000" s="39">
        <v>15</v>
      </c>
      <c r="AE1000" s="39">
        <f>G1000*0</f>
        <v>0</v>
      </c>
      <c r="AF1000" s="39">
        <f>G1000*(1-0)</f>
        <v>0</v>
      </c>
      <c r="AM1000" s="39">
        <f>F1000*AE1000</f>
        <v>0</v>
      </c>
      <c r="AN1000" s="39">
        <f>F1000*AF1000</f>
        <v>0</v>
      </c>
      <c r="AO1000" s="40" t="s">
        <v>1595</v>
      </c>
      <c r="AP1000" s="40" t="s">
        <v>1606</v>
      </c>
      <c r="AQ1000" s="31" t="s">
        <v>1612</v>
      </c>
    </row>
    <row r="1001" ht="12.75">
      <c r="D1001" s="18" t="s">
        <v>1475</v>
      </c>
    </row>
    <row r="1002" spans="1:43" ht="12.75">
      <c r="A1002" s="5" t="s">
        <v>579</v>
      </c>
      <c r="B1002" s="5" t="s">
        <v>593</v>
      </c>
      <c r="C1002" s="5" t="s">
        <v>945</v>
      </c>
      <c r="D1002" s="5" t="s">
        <v>1476</v>
      </c>
      <c r="E1002" s="5" t="s">
        <v>1499</v>
      </c>
      <c r="F1002" s="22">
        <v>1</v>
      </c>
      <c r="G1002" s="22">
        <v>0</v>
      </c>
      <c r="H1002" s="22">
        <f>F1002*AE1002</f>
        <v>0</v>
      </c>
      <c r="I1002" s="22">
        <f>J1002-H1002</f>
        <v>0</v>
      </c>
      <c r="J1002" s="22">
        <f>F1002*G1002</f>
        <v>0</v>
      </c>
      <c r="K1002" s="22">
        <v>0</v>
      </c>
      <c r="L1002" s="22">
        <f>F1002*K1002</f>
        <v>0</v>
      </c>
      <c r="M1002" s="35" t="s">
        <v>1525</v>
      </c>
      <c r="N1002" s="35" t="s">
        <v>7</v>
      </c>
      <c r="O1002" s="22">
        <f>IF(N1002="5",I1002,0)</f>
        <v>0</v>
      </c>
      <c r="Z1002" s="22">
        <f>IF(AD1002=0,J1002,0)</f>
        <v>0</v>
      </c>
      <c r="AA1002" s="22">
        <f>IF(AD1002=15,J1002,0)</f>
        <v>0</v>
      </c>
      <c r="AB1002" s="22">
        <f>IF(AD1002=21,J1002,0)</f>
        <v>0</v>
      </c>
      <c r="AD1002" s="39">
        <v>15</v>
      </c>
      <c r="AE1002" s="39">
        <f>G1002*0.686149936467598</f>
        <v>0</v>
      </c>
      <c r="AF1002" s="39">
        <f>G1002*(1-0.686149936467598)</f>
        <v>0</v>
      </c>
      <c r="AM1002" s="39">
        <f>F1002*AE1002</f>
        <v>0</v>
      </c>
      <c r="AN1002" s="39">
        <f>F1002*AF1002</f>
        <v>0</v>
      </c>
      <c r="AO1002" s="40" t="s">
        <v>1595</v>
      </c>
      <c r="AP1002" s="40" t="s">
        <v>1606</v>
      </c>
      <c r="AQ1002" s="31" t="s">
        <v>1612</v>
      </c>
    </row>
    <row r="1003" ht="12.75">
      <c r="D1003" s="18" t="s">
        <v>1477</v>
      </c>
    </row>
    <row r="1004" spans="1:43" ht="12.75">
      <c r="A1004" s="5" t="s">
        <v>580</v>
      </c>
      <c r="B1004" s="5" t="s">
        <v>593</v>
      </c>
      <c r="C1004" s="5" t="s">
        <v>946</v>
      </c>
      <c r="D1004" s="5" t="s">
        <v>1478</v>
      </c>
      <c r="E1004" s="5" t="s">
        <v>1499</v>
      </c>
      <c r="F1004" s="22">
        <v>1</v>
      </c>
      <c r="G1004" s="22">
        <v>0</v>
      </c>
      <c r="H1004" s="22">
        <f>F1004*AE1004</f>
        <v>0</v>
      </c>
      <c r="I1004" s="22">
        <f>J1004-H1004</f>
        <v>0</v>
      </c>
      <c r="J1004" s="22">
        <f>F1004*G1004</f>
        <v>0</v>
      </c>
      <c r="K1004" s="22">
        <v>0</v>
      </c>
      <c r="L1004" s="22">
        <f>F1004*K1004</f>
        <v>0</v>
      </c>
      <c r="M1004" s="35" t="s">
        <v>1525</v>
      </c>
      <c r="N1004" s="35" t="s">
        <v>7</v>
      </c>
      <c r="O1004" s="22">
        <f>IF(N1004="5",I1004,0)</f>
        <v>0</v>
      </c>
      <c r="Z1004" s="22">
        <f>IF(AD1004=0,J1004,0)</f>
        <v>0</v>
      </c>
      <c r="AA1004" s="22">
        <f>IF(AD1004=15,J1004,0)</f>
        <v>0</v>
      </c>
      <c r="AB1004" s="22">
        <f>IF(AD1004=21,J1004,0)</f>
        <v>0</v>
      </c>
      <c r="AD1004" s="39">
        <v>15</v>
      </c>
      <c r="AE1004" s="39">
        <f>G1004*0.442960905789361</f>
        <v>0</v>
      </c>
      <c r="AF1004" s="39">
        <f>G1004*(1-0.442960905789361)</f>
        <v>0</v>
      </c>
      <c r="AM1004" s="39">
        <f>F1004*AE1004</f>
        <v>0</v>
      </c>
      <c r="AN1004" s="39">
        <f>F1004*AF1004</f>
        <v>0</v>
      </c>
      <c r="AO1004" s="40" t="s">
        <v>1595</v>
      </c>
      <c r="AP1004" s="40" t="s">
        <v>1606</v>
      </c>
      <c r="AQ1004" s="31" t="s">
        <v>1612</v>
      </c>
    </row>
    <row r="1005" ht="26.25">
      <c r="D1005" s="18" t="s">
        <v>1479</v>
      </c>
    </row>
    <row r="1006" spans="1:43" ht="12.75">
      <c r="A1006" s="5" t="s">
        <v>581</v>
      </c>
      <c r="B1006" s="5" t="s">
        <v>593</v>
      </c>
      <c r="C1006" s="5" t="s">
        <v>947</v>
      </c>
      <c r="D1006" s="5" t="s">
        <v>1480</v>
      </c>
      <c r="E1006" s="5" t="s">
        <v>1499</v>
      </c>
      <c r="F1006" s="22">
        <v>1</v>
      </c>
      <c r="G1006" s="22">
        <v>0</v>
      </c>
      <c r="H1006" s="22">
        <f>F1006*AE1006</f>
        <v>0</v>
      </c>
      <c r="I1006" s="22">
        <f>J1006-H1006</f>
        <v>0</v>
      </c>
      <c r="J1006" s="22">
        <f>F1006*G1006</f>
        <v>0</v>
      </c>
      <c r="K1006" s="22">
        <v>0</v>
      </c>
      <c r="L1006" s="22">
        <f>F1006*K1006</f>
        <v>0</v>
      </c>
      <c r="M1006" s="35" t="s">
        <v>1525</v>
      </c>
      <c r="N1006" s="35" t="s">
        <v>7</v>
      </c>
      <c r="O1006" s="22">
        <f>IF(N1006="5",I1006,0)</f>
        <v>0</v>
      </c>
      <c r="Z1006" s="22">
        <f>IF(AD1006=0,J1006,0)</f>
        <v>0</v>
      </c>
      <c r="AA1006" s="22">
        <f>IF(AD1006=15,J1006,0)</f>
        <v>0</v>
      </c>
      <c r="AB1006" s="22">
        <f>IF(AD1006=21,J1006,0)</f>
        <v>0</v>
      </c>
      <c r="AD1006" s="39">
        <v>15</v>
      </c>
      <c r="AE1006" s="39">
        <f>G1006*0</f>
        <v>0</v>
      </c>
      <c r="AF1006" s="39">
        <f>G1006*(1-0)</f>
        <v>0</v>
      </c>
      <c r="AM1006" s="39">
        <f>F1006*AE1006</f>
        <v>0</v>
      </c>
      <c r="AN1006" s="39">
        <f>F1006*AF1006</f>
        <v>0</v>
      </c>
      <c r="AO1006" s="40" t="s">
        <v>1595</v>
      </c>
      <c r="AP1006" s="40" t="s">
        <v>1606</v>
      </c>
      <c r="AQ1006" s="31" t="s">
        <v>1612</v>
      </c>
    </row>
    <row r="1007" ht="39">
      <c r="D1007" s="18" t="s">
        <v>1481</v>
      </c>
    </row>
    <row r="1008" spans="1:43" ht="12.75">
      <c r="A1008" s="5" t="s">
        <v>582</v>
      </c>
      <c r="B1008" s="5" t="s">
        <v>593</v>
      </c>
      <c r="C1008" s="5" t="s">
        <v>948</v>
      </c>
      <c r="D1008" s="5" t="s">
        <v>1482</v>
      </c>
      <c r="E1008" s="5" t="s">
        <v>1499</v>
      </c>
      <c r="F1008" s="22">
        <v>6</v>
      </c>
      <c r="G1008" s="22">
        <v>0</v>
      </c>
      <c r="H1008" s="22">
        <f>F1008*AE1008</f>
        <v>0</v>
      </c>
      <c r="I1008" s="22">
        <f>J1008-H1008</f>
        <v>0</v>
      </c>
      <c r="J1008" s="22">
        <f>F1008*G1008</f>
        <v>0</v>
      </c>
      <c r="K1008" s="22">
        <v>0</v>
      </c>
      <c r="L1008" s="22">
        <f>F1008*K1008</f>
        <v>0</v>
      </c>
      <c r="M1008" s="35" t="s">
        <v>1525</v>
      </c>
      <c r="N1008" s="35" t="s">
        <v>7</v>
      </c>
      <c r="O1008" s="22">
        <f>IF(N1008="5",I1008,0)</f>
        <v>0</v>
      </c>
      <c r="Z1008" s="22">
        <f>IF(AD1008=0,J1008,0)</f>
        <v>0</v>
      </c>
      <c r="AA1008" s="22">
        <f>IF(AD1008=15,J1008,0)</f>
        <v>0</v>
      </c>
      <c r="AB1008" s="22">
        <f>IF(AD1008=21,J1008,0)</f>
        <v>0</v>
      </c>
      <c r="AD1008" s="39">
        <v>15</v>
      </c>
      <c r="AE1008" s="39">
        <f>G1008*0</f>
        <v>0</v>
      </c>
      <c r="AF1008" s="39">
        <f>G1008*(1-0)</f>
        <v>0</v>
      </c>
      <c r="AM1008" s="39">
        <f>F1008*AE1008</f>
        <v>0</v>
      </c>
      <c r="AN1008" s="39">
        <f>F1008*AF1008</f>
        <v>0</v>
      </c>
      <c r="AO1008" s="40" t="s">
        <v>1595</v>
      </c>
      <c r="AP1008" s="40" t="s">
        <v>1606</v>
      </c>
      <c r="AQ1008" s="31" t="s">
        <v>1612</v>
      </c>
    </row>
    <row r="1009" ht="12.75">
      <c r="D1009" s="18" t="s">
        <v>1483</v>
      </c>
    </row>
    <row r="1010" spans="1:43" ht="12.75">
      <c r="A1010" s="5" t="s">
        <v>583</v>
      </c>
      <c r="B1010" s="5" t="s">
        <v>593</v>
      </c>
      <c r="C1010" s="5" t="s">
        <v>949</v>
      </c>
      <c r="D1010" s="5" t="s">
        <v>1484</v>
      </c>
      <c r="E1010" s="5" t="s">
        <v>1499</v>
      </c>
      <c r="F1010" s="22">
        <v>1</v>
      </c>
      <c r="G1010" s="22">
        <v>0</v>
      </c>
      <c r="H1010" s="22">
        <f>F1010*AE1010</f>
        <v>0</v>
      </c>
      <c r="I1010" s="22">
        <f>J1010-H1010</f>
        <v>0</v>
      </c>
      <c r="J1010" s="22">
        <f>F1010*G1010</f>
        <v>0</v>
      </c>
      <c r="K1010" s="22">
        <v>0</v>
      </c>
      <c r="L1010" s="22">
        <f>F1010*K1010</f>
        <v>0</v>
      </c>
      <c r="M1010" s="35" t="s">
        <v>1525</v>
      </c>
      <c r="N1010" s="35" t="s">
        <v>7</v>
      </c>
      <c r="O1010" s="22">
        <f>IF(N1010="5",I1010,0)</f>
        <v>0</v>
      </c>
      <c r="Z1010" s="22">
        <f>IF(AD1010=0,J1010,0)</f>
        <v>0</v>
      </c>
      <c r="AA1010" s="22">
        <f>IF(AD1010=15,J1010,0)</f>
        <v>0</v>
      </c>
      <c r="AB1010" s="22">
        <f>IF(AD1010=21,J1010,0)</f>
        <v>0</v>
      </c>
      <c r="AD1010" s="39">
        <v>15</v>
      </c>
      <c r="AE1010" s="39">
        <f>G1010*0</f>
        <v>0</v>
      </c>
      <c r="AF1010" s="39">
        <f>G1010*(1-0)</f>
        <v>0</v>
      </c>
      <c r="AM1010" s="39">
        <f>F1010*AE1010</f>
        <v>0</v>
      </c>
      <c r="AN1010" s="39">
        <f>F1010*AF1010</f>
        <v>0</v>
      </c>
      <c r="AO1010" s="40" t="s">
        <v>1595</v>
      </c>
      <c r="AP1010" s="40" t="s">
        <v>1606</v>
      </c>
      <c r="AQ1010" s="31" t="s">
        <v>1612</v>
      </c>
    </row>
    <row r="1011" spans="1:43" ht="12.75">
      <c r="A1011" s="5" t="s">
        <v>584</v>
      </c>
      <c r="B1011" s="5" t="s">
        <v>593</v>
      </c>
      <c r="C1011" s="5" t="s">
        <v>950</v>
      </c>
      <c r="D1011" s="5" t="s">
        <v>1485</v>
      </c>
      <c r="E1011" s="5" t="s">
        <v>1499</v>
      </c>
      <c r="F1011" s="22">
        <v>1</v>
      </c>
      <c r="G1011" s="22">
        <v>0</v>
      </c>
      <c r="H1011" s="22">
        <f>F1011*AE1011</f>
        <v>0</v>
      </c>
      <c r="I1011" s="22">
        <f>J1011-H1011</f>
        <v>0</v>
      </c>
      <c r="J1011" s="22">
        <f>F1011*G1011</f>
        <v>0</v>
      </c>
      <c r="K1011" s="22">
        <v>0</v>
      </c>
      <c r="L1011" s="22">
        <f>F1011*K1011</f>
        <v>0</v>
      </c>
      <c r="M1011" s="35" t="s">
        <v>1525</v>
      </c>
      <c r="N1011" s="35" t="s">
        <v>7</v>
      </c>
      <c r="O1011" s="22">
        <f>IF(N1011="5",I1011,0)</f>
        <v>0</v>
      </c>
      <c r="Z1011" s="22">
        <f>IF(AD1011=0,J1011,0)</f>
        <v>0</v>
      </c>
      <c r="AA1011" s="22">
        <f>IF(AD1011=15,J1011,0)</f>
        <v>0</v>
      </c>
      <c r="AB1011" s="22">
        <f>IF(AD1011=21,J1011,0)</f>
        <v>0</v>
      </c>
      <c r="AD1011" s="39">
        <v>15</v>
      </c>
      <c r="AE1011" s="39">
        <f>G1011*0</f>
        <v>0</v>
      </c>
      <c r="AF1011" s="39">
        <f>G1011*(1-0)</f>
        <v>0</v>
      </c>
      <c r="AM1011" s="39">
        <f>F1011*AE1011</f>
        <v>0</v>
      </c>
      <c r="AN1011" s="39">
        <f>F1011*AF1011</f>
        <v>0</v>
      </c>
      <c r="AO1011" s="40" t="s">
        <v>1595</v>
      </c>
      <c r="AP1011" s="40" t="s">
        <v>1606</v>
      </c>
      <c r="AQ1011" s="31" t="s">
        <v>1612</v>
      </c>
    </row>
    <row r="1012" spans="1:43" ht="12.75">
      <c r="A1012" s="5" t="s">
        <v>585</v>
      </c>
      <c r="B1012" s="5" t="s">
        <v>593</v>
      </c>
      <c r="C1012" s="5" t="s">
        <v>951</v>
      </c>
      <c r="D1012" s="5" t="s">
        <v>1486</v>
      </c>
      <c r="E1012" s="5" t="s">
        <v>1499</v>
      </c>
      <c r="F1012" s="22">
        <v>1</v>
      </c>
      <c r="G1012" s="22">
        <v>0</v>
      </c>
      <c r="H1012" s="22">
        <f>F1012*AE1012</f>
        <v>0</v>
      </c>
      <c r="I1012" s="22">
        <f>J1012-H1012</f>
        <v>0</v>
      </c>
      <c r="J1012" s="22">
        <f>F1012*G1012</f>
        <v>0</v>
      </c>
      <c r="K1012" s="22">
        <v>0</v>
      </c>
      <c r="L1012" s="22">
        <f>F1012*K1012</f>
        <v>0</v>
      </c>
      <c r="M1012" s="35" t="s">
        <v>1525</v>
      </c>
      <c r="N1012" s="35" t="s">
        <v>7</v>
      </c>
      <c r="O1012" s="22">
        <f>IF(N1012="5",I1012,0)</f>
        <v>0</v>
      </c>
      <c r="Z1012" s="22">
        <f>IF(AD1012=0,J1012,0)</f>
        <v>0</v>
      </c>
      <c r="AA1012" s="22">
        <f>IF(AD1012=15,J1012,0)</f>
        <v>0</v>
      </c>
      <c r="AB1012" s="22">
        <f>IF(AD1012=21,J1012,0)</f>
        <v>0</v>
      </c>
      <c r="AD1012" s="39">
        <v>15</v>
      </c>
      <c r="AE1012" s="39">
        <f>G1012*0</f>
        <v>0</v>
      </c>
      <c r="AF1012" s="39">
        <f>G1012*(1-0)</f>
        <v>0</v>
      </c>
      <c r="AM1012" s="39">
        <f>F1012*AE1012</f>
        <v>0</v>
      </c>
      <c r="AN1012" s="39">
        <f>F1012*AF1012</f>
        <v>0</v>
      </c>
      <c r="AO1012" s="40" t="s">
        <v>1595</v>
      </c>
      <c r="AP1012" s="40" t="s">
        <v>1606</v>
      </c>
      <c r="AQ1012" s="31" t="s">
        <v>1612</v>
      </c>
    </row>
    <row r="1013" spans="1:13" ht="12.75">
      <c r="A1013" s="8"/>
      <c r="B1013" s="8"/>
      <c r="C1013" s="8"/>
      <c r="D1013" s="19" t="s">
        <v>1487</v>
      </c>
      <c r="E1013" s="8"/>
      <c r="F1013" s="8"/>
      <c r="G1013" s="8"/>
      <c r="H1013" s="8"/>
      <c r="I1013" s="8"/>
      <c r="J1013" s="8"/>
      <c r="K1013" s="8"/>
      <c r="L1013" s="8"/>
      <c r="M1013" s="8"/>
    </row>
    <row r="1014" spans="1:28" ht="12.75">
      <c r="A1014" s="9"/>
      <c r="B1014" s="9"/>
      <c r="C1014" s="9"/>
      <c r="D1014" s="9"/>
      <c r="E1014" s="9"/>
      <c r="F1014" s="9"/>
      <c r="G1014" s="9"/>
      <c r="H1014" s="108" t="s">
        <v>1509</v>
      </c>
      <c r="I1014" s="109"/>
      <c r="J1014" s="44">
        <f>J13+J34+J41+J47+J60+J68+J73+J76+J78+J82+J88+J91+J94+J97+J99+J101+J103+J105+J107+J109+J138+J154+J166+J171+J174+J182+J188+J201+J226+J259+J269+J273+J276+J281+J286+J306+J310+J326+J336+J340+J355+J359+J364+J368+J370+J372+J390+J394+J396+J398+J400+J402+J404+J406+J408+J410+J412+J414+J416+J418+J420+J422+J424+J426+J428+J467+J483+J495+J500+J503+J511+J517+J530+J555+J588+J598+J602+J604+J609+J613+J633+J637+J653+J663+J667+J682+J686+J691+J695+J698+J701+J720+J724+J726+J728+J730+J732+J734+J736+J738+J740+J742+J744+J746+J748+J750+J752+J754+J756+J758+J796+J800+J804+J807+J813+J815+J820+J825+J829+J831+J833+J835+J837+J839+J846+J850+J887+J901+J906+J911+J955+J958+J964+J973+J983+J985+J987+J989+J991+J993+J997</f>
        <v>0</v>
      </c>
      <c r="K1014" s="9"/>
      <c r="L1014" s="9"/>
      <c r="M1014" s="9"/>
      <c r="Z1014" s="45">
        <f>SUM(Z13:Z1013)</f>
        <v>0</v>
      </c>
      <c r="AA1014" s="45">
        <f>SUM(AA13:AA1013)</f>
        <v>0</v>
      </c>
      <c r="AB1014" s="45">
        <f>SUM(AB13:AB1013)</f>
        <v>0</v>
      </c>
    </row>
    <row r="1015" ht="10.5" customHeight="1">
      <c r="A1015" s="10" t="s">
        <v>586</v>
      </c>
    </row>
    <row r="1016" spans="1:13" ht="409.5" customHeight="1" hidden="1">
      <c r="A1016" s="93"/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</row>
  </sheetData>
  <sheetProtection/>
  <mergeCells count="176">
    <mergeCell ref="A1016:M1016"/>
    <mergeCell ref="D989:G989"/>
    <mergeCell ref="D991:G991"/>
    <mergeCell ref="D993:G993"/>
    <mergeCell ref="D996:G996"/>
    <mergeCell ref="D997:G997"/>
    <mergeCell ref="H1014:I1014"/>
    <mergeCell ref="D958:G958"/>
    <mergeCell ref="D964:G964"/>
    <mergeCell ref="D973:G973"/>
    <mergeCell ref="D983:G983"/>
    <mergeCell ref="D985:G985"/>
    <mergeCell ref="D987:G987"/>
    <mergeCell ref="D850:G850"/>
    <mergeCell ref="D887:G887"/>
    <mergeCell ref="D901:G901"/>
    <mergeCell ref="D906:G906"/>
    <mergeCell ref="D911:G911"/>
    <mergeCell ref="D955:G955"/>
    <mergeCell ref="D833:G833"/>
    <mergeCell ref="D835:G835"/>
    <mergeCell ref="D837:G837"/>
    <mergeCell ref="D839:G839"/>
    <mergeCell ref="D845:G845"/>
    <mergeCell ref="D846:G846"/>
    <mergeCell ref="D813:G813"/>
    <mergeCell ref="D815:G815"/>
    <mergeCell ref="D820:G820"/>
    <mergeCell ref="D825:G825"/>
    <mergeCell ref="D829:G829"/>
    <mergeCell ref="D831:G831"/>
    <mergeCell ref="D758:G758"/>
    <mergeCell ref="D796:G796"/>
    <mergeCell ref="D799:G799"/>
    <mergeCell ref="D800:G800"/>
    <mergeCell ref="D804:G804"/>
    <mergeCell ref="D807:G807"/>
    <mergeCell ref="D746:G746"/>
    <mergeCell ref="D748:G748"/>
    <mergeCell ref="D750:G750"/>
    <mergeCell ref="D752:G752"/>
    <mergeCell ref="D754:G754"/>
    <mergeCell ref="D756:G756"/>
    <mergeCell ref="D734:G734"/>
    <mergeCell ref="D736:G736"/>
    <mergeCell ref="D738:G738"/>
    <mergeCell ref="D740:G740"/>
    <mergeCell ref="D742:G742"/>
    <mergeCell ref="D744:G744"/>
    <mergeCell ref="D720:G720"/>
    <mergeCell ref="D724:G724"/>
    <mergeCell ref="D726:G726"/>
    <mergeCell ref="D728:G728"/>
    <mergeCell ref="D730:G730"/>
    <mergeCell ref="D732:G732"/>
    <mergeCell ref="D682:G682"/>
    <mergeCell ref="D686:G686"/>
    <mergeCell ref="D691:G691"/>
    <mergeCell ref="D695:G695"/>
    <mergeCell ref="D698:G698"/>
    <mergeCell ref="D701:G701"/>
    <mergeCell ref="D613:G613"/>
    <mergeCell ref="D633:G633"/>
    <mergeCell ref="D637:G637"/>
    <mergeCell ref="D653:G653"/>
    <mergeCell ref="D663:G663"/>
    <mergeCell ref="D667:G667"/>
    <mergeCell ref="D555:G555"/>
    <mergeCell ref="D588:G588"/>
    <mergeCell ref="D598:G598"/>
    <mergeCell ref="D602:G602"/>
    <mergeCell ref="D604:G604"/>
    <mergeCell ref="D609:G609"/>
    <mergeCell ref="D495:G495"/>
    <mergeCell ref="D500:G500"/>
    <mergeCell ref="D503:G503"/>
    <mergeCell ref="D511:G511"/>
    <mergeCell ref="D517:G517"/>
    <mergeCell ref="D530:G530"/>
    <mergeCell ref="D424:G424"/>
    <mergeCell ref="D426:G426"/>
    <mergeCell ref="D428:G428"/>
    <mergeCell ref="D466:G466"/>
    <mergeCell ref="D467:G467"/>
    <mergeCell ref="D483:G483"/>
    <mergeCell ref="D412:G412"/>
    <mergeCell ref="D414:G414"/>
    <mergeCell ref="D416:G416"/>
    <mergeCell ref="D418:G418"/>
    <mergeCell ref="D420:G420"/>
    <mergeCell ref="D422:G422"/>
    <mergeCell ref="D400:G400"/>
    <mergeCell ref="D402:G402"/>
    <mergeCell ref="D404:G404"/>
    <mergeCell ref="D406:G406"/>
    <mergeCell ref="D408:G408"/>
    <mergeCell ref="D410:G410"/>
    <mergeCell ref="D370:G370"/>
    <mergeCell ref="D372:G372"/>
    <mergeCell ref="D390:G390"/>
    <mergeCell ref="D394:G394"/>
    <mergeCell ref="D396:G396"/>
    <mergeCell ref="D398:G398"/>
    <mergeCell ref="D336:G336"/>
    <mergeCell ref="D340:G340"/>
    <mergeCell ref="D355:G355"/>
    <mergeCell ref="D359:G359"/>
    <mergeCell ref="D364:G364"/>
    <mergeCell ref="D368:G368"/>
    <mergeCell ref="D276:G276"/>
    <mergeCell ref="D281:G281"/>
    <mergeCell ref="D286:G286"/>
    <mergeCell ref="D306:G306"/>
    <mergeCell ref="D310:G310"/>
    <mergeCell ref="D326:G326"/>
    <mergeCell ref="D188:G188"/>
    <mergeCell ref="D201:G201"/>
    <mergeCell ref="D226:G226"/>
    <mergeCell ref="D259:G259"/>
    <mergeCell ref="D269:G269"/>
    <mergeCell ref="D273:G273"/>
    <mergeCell ref="D138:G138"/>
    <mergeCell ref="D154:G154"/>
    <mergeCell ref="D166:G166"/>
    <mergeCell ref="D171:G171"/>
    <mergeCell ref="D174:G174"/>
    <mergeCell ref="D182:G182"/>
    <mergeCell ref="D101:G101"/>
    <mergeCell ref="D103:G103"/>
    <mergeCell ref="D105:G105"/>
    <mergeCell ref="D107:G107"/>
    <mergeCell ref="D109:G109"/>
    <mergeCell ref="D137:G137"/>
    <mergeCell ref="D82:G82"/>
    <mergeCell ref="D88:G88"/>
    <mergeCell ref="D91:G91"/>
    <mergeCell ref="D94:G94"/>
    <mergeCell ref="D97:G97"/>
    <mergeCell ref="D99:G99"/>
    <mergeCell ref="D47:G47"/>
    <mergeCell ref="D60:G60"/>
    <mergeCell ref="D68:G68"/>
    <mergeCell ref="D73:G73"/>
    <mergeCell ref="D76:G76"/>
    <mergeCell ref="D78:G78"/>
    <mergeCell ref="H10:J10"/>
    <mergeCell ref="K10:L10"/>
    <mergeCell ref="D12:G12"/>
    <mergeCell ref="D13:G13"/>
    <mergeCell ref="D34:G34"/>
    <mergeCell ref="D41:G41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zoomScalePageLayoutView="0" workbookViewId="0" topLeftCell="A1">
      <selection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28125" style="0" customWidth="1"/>
    <col min="5" max="5" width="21.00390625" style="0" customWidth="1"/>
    <col min="6" max="6" width="20.7109375" style="0" customWidth="1"/>
    <col min="7" max="7" width="19.7109375" style="0" customWidth="1"/>
    <col min="8" max="9" width="0" style="0" hidden="1" customWidth="1"/>
  </cols>
  <sheetData>
    <row r="1" spans="1:7" ht="72.75" customHeight="1">
      <c r="A1" s="80" t="s">
        <v>1613</v>
      </c>
      <c r="B1" s="81"/>
      <c r="C1" s="81"/>
      <c r="D1" s="81"/>
      <c r="E1" s="81"/>
      <c r="F1" s="81"/>
      <c r="G1" s="81"/>
    </row>
    <row r="2" spans="1:8" ht="12.75">
      <c r="A2" s="82" t="s">
        <v>1</v>
      </c>
      <c r="B2" s="86" t="s">
        <v>952</v>
      </c>
      <c r="C2" s="109"/>
      <c r="D2" s="89" t="s">
        <v>1510</v>
      </c>
      <c r="E2" s="89" t="s">
        <v>1515</v>
      </c>
      <c r="F2" s="83"/>
      <c r="G2" s="90"/>
      <c r="H2" s="37"/>
    </row>
    <row r="3" spans="1:8" ht="12.75" customHeight="1">
      <c r="A3" s="84"/>
      <c r="B3" s="87"/>
      <c r="C3" s="87"/>
      <c r="D3" s="85"/>
      <c r="E3" s="85"/>
      <c r="F3" s="85"/>
      <c r="G3" s="91"/>
      <c r="H3" s="37"/>
    </row>
    <row r="4" spans="1:8" ht="12.75">
      <c r="A4" s="92" t="s">
        <v>2</v>
      </c>
      <c r="B4" s="93" t="s">
        <v>953</v>
      </c>
      <c r="C4" s="85"/>
      <c r="D4" s="93" t="s">
        <v>1511</v>
      </c>
      <c r="E4" s="93" t="s">
        <v>1516</v>
      </c>
      <c r="F4" s="85"/>
      <c r="G4" s="91"/>
      <c r="H4" s="37"/>
    </row>
    <row r="5" spans="1:8" ht="12.75" customHeight="1">
      <c r="A5" s="84"/>
      <c r="B5" s="85"/>
      <c r="C5" s="85"/>
      <c r="D5" s="85"/>
      <c r="E5" s="85"/>
      <c r="F5" s="85"/>
      <c r="G5" s="91"/>
      <c r="H5" s="37"/>
    </row>
    <row r="6" spans="1:8" ht="12.75">
      <c r="A6" s="92" t="s">
        <v>3</v>
      </c>
      <c r="B6" s="93" t="s">
        <v>954</v>
      </c>
      <c r="C6" s="85"/>
      <c r="D6" s="93" t="s">
        <v>1512</v>
      </c>
      <c r="E6" s="93" t="s">
        <v>1517</v>
      </c>
      <c r="F6" s="85"/>
      <c r="G6" s="91"/>
      <c r="H6" s="37"/>
    </row>
    <row r="7" spans="1:8" ht="12.75" customHeight="1">
      <c r="A7" s="84"/>
      <c r="B7" s="85"/>
      <c r="C7" s="85"/>
      <c r="D7" s="85"/>
      <c r="E7" s="85"/>
      <c r="F7" s="85"/>
      <c r="G7" s="91"/>
      <c r="H7" s="37"/>
    </row>
    <row r="8" spans="1:8" ht="12.75">
      <c r="A8" s="92" t="s">
        <v>1513</v>
      </c>
      <c r="B8" s="93" t="s">
        <v>1518</v>
      </c>
      <c r="C8" s="85"/>
      <c r="D8" s="94" t="s">
        <v>1491</v>
      </c>
      <c r="E8" s="97">
        <v>43085</v>
      </c>
      <c r="F8" s="85"/>
      <c r="G8" s="91"/>
      <c r="H8" s="37"/>
    </row>
    <row r="9" spans="1:8" ht="12.75">
      <c r="A9" s="95"/>
      <c r="B9" s="96"/>
      <c r="C9" s="96"/>
      <c r="D9" s="96"/>
      <c r="E9" s="96"/>
      <c r="F9" s="96"/>
      <c r="G9" s="98"/>
      <c r="H9" s="37"/>
    </row>
    <row r="10" spans="1:8" ht="12.75">
      <c r="A10" s="46" t="s">
        <v>587</v>
      </c>
      <c r="B10" s="48" t="s">
        <v>594</v>
      </c>
      <c r="C10" s="49" t="s">
        <v>1614</v>
      </c>
      <c r="D10" s="50" t="s">
        <v>1615</v>
      </c>
      <c r="E10" s="50" t="s">
        <v>1616</v>
      </c>
      <c r="F10" s="50" t="s">
        <v>1617</v>
      </c>
      <c r="G10" s="53" t="s">
        <v>1618</v>
      </c>
      <c r="H10" s="38"/>
    </row>
    <row r="11" spans="1:9" ht="12.75">
      <c r="A11" s="47" t="s">
        <v>588</v>
      </c>
      <c r="B11" s="47"/>
      <c r="C11" s="47" t="s">
        <v>957</v>
      </c>
      <c r="D11" s="51"/>
      <c r="E11" s="51"/>
      <c r="F11" s="54">
        <f aca="true" t="shared" si="0" ref="F11:F42">D11+E11</f>
        <v>0</v>
      </c>
      <c r="G11" s="54">
        <v>14.64319</v>
      </c>
      <c r="H11" s="39" t="s">
        <v>1619</v>
      </c>
      <c r="I11" s="39">
        <f aca="true" t="shared" si="1" ref="I11:I42">IF(H11="T",0,F11)</f>
        <v>0</v>
      </c>
    </row>
    <row r="12" spans="1:9" ht="12.75">
      <c r="A12" s="20" t="s">
        <v>588</v>
      </c>
      <c r="B12" s="20" t="s">
        <v>67</v>
      </c>
      <c r="C12" s="20" t="s">
        <v>958</v>
      </c>
      <c r="F12" s="39">
        <f t="shared" si="0"/>
        <v>0</v>
      </c>
      <c r="G12" s="39">
        <v>7.33671</v>
      </c>
      <c r="H12" s="39" t="s">
        <v>1620</v>
      </c>
      <c r="I12" s="39">
        <f t="shared" si="1"/>
        <v>0</v>
      </c>
    </row>
    <row r="13" spans="1:9" ht="12.75">
      <c r="A13" s="20" t="s">
        <v>588</v>
      </c>
      <c r="B13" s="20" t="s">
        <v>70</v>
      </c>
      <c r="C13" s="20" t="s">
        <v>971</v>
      </c>
      <c r="F13" s="39">
        <f t="shared" si="0"/>
        <v>0</v>
      </c>
      <c r="G13" s="39">
        <v>1.42923</v>
      </c>
      <c r="H13" s="39" t="s">
        <v>1620</v>
      </c>
      <c r="I13" s="39">
        <f t="shared" si="1"/>
        <v>0</v>
      </c>
    </row>
    <row r="14" spans="1:9" ht="12.75">
      <c r="A14" s="20" t="s">
        <v>588</v>
      </c>
      <c r="B14" s="20" t="s">
        <v>606</v>
      </c>
      <c r="C14" s="20" t="s">
        <v>978</v>
      </c>
      <c r="F14" s="39">
        <f t="shared" si="0"/>
        <v>0</v>
      </c>
      <c r="G14" s="39">
        <v>0.6164</v>
      </c>
      <c r="H14" s="39" t="s">
        <v>1620</v>
      </c>
      <c r="I14" s="39">
        <f t="shared" si="1"/>
        <v>0</v>
      </c>
    </row>
    <row r="15" spans="1:9" ht="12.75">
      <c r="A15" s="20" t="s">
        <v>588</v>
      </c>
      <c r="B15" s="20" t="s">
        <v>609</v>
      </c>
      <c r="C15" s="20" t="s">
        <v>982</v>
      </c>
      <c r="F15" s="39">
        <f t="shared" si="0"/>
        <v>0</v>
      </c>
      <c r="G15" s="39">
        <v>3.4158</v>
      </c>
      <c r="H15" s="39" t="s">
        <v>1620</v>
      </c>
      <c r="I15" s="39">
        <f t="shared" si="1"/>
        <v>0</v>
      </c>
    </row>
    <row r="16" spans="1:9" ht="12.75">
      <c r="A16" s="20" t="s">
        <v>588</v>
      </c>
      <c r="B16" s="20" t="s">
        <v>622</v>
      </c>
      <c r="C16" s="20" t="s">
        <v>995</v>
      </c>
      <c r="F16" s="39">
        <f t="shared" si="0"/>
        <v>0</v>
      </c>
      <c r="G16" s="39">
        <v>0.01086</v>
      </c>
      <c r="H16" s="39" t="s">
        <v>1620</v>
      </c>
      <c r="I16" s="39">
        <f t="shared" si="1"/>
        <v>0</v>
      </c>
    </row>
    <row r="17" spans="1:9" ht="12.75">
      <c r="A17" s="20" t="s">
        <v>588</v>
      </c>
      <c r="B17" s="20" t="s">
        <v>630</v>
      </c>
      <c r="C17" s="20" t="s">
        <v>1003</v>
      </c>
      <c r="F17" s="39">
        <f t="shared" si="0"/>
        <v>0</v>
      </c>
      <c r="G17" s="39">
        <v>0.82008</v>
      </c>
      <c r="H17" s="39" t="s">
        <v>1620</v>
      </c>
      <c r="I17" s="39">
        <f t="shared" si="1"/>
        <v>0</v>
      </c>
    </row>
    <row r="18" spans="1:9" ht="12.75">
      <c r="A18" s="20" t="s">
        <v>588</v>
      </c>
      <c r="B18" s="20" t="s">
        <v>634</v>
      </c>
      <c r="C18" s="20" t="s">
        <v>1007</v>
      </c>
      <c r="F18" s="39">
        <f t="shared" si="0"/>
        <v>0</v>
      </c>
      <c r="G18" s="39">
        <v>0.085</v>
      </c>
      <c r="H18" s="39" t="s">
        <v>1620</v>
      </c>
      <c r="I18" s="39">
        <f t="shared" si="1"/>
        <v>0</v>
      </c>
    </row>
    <row r="19" spans="1:9" ht="12.75">
      <c r="A19" s="20" t="s">
        <v>588</v>
      </c>
      <c r="B19" s="20" t="s">
        <v>636</v>
      </c>
      <c r="C19" s="20" t="s">
        <v>1010</v>
      </c>
      <c r="F19" s="39">
        <f t="shared" si="0"/>
        <v>0</v>
      </c>
      <c r="G19" s="39">
        <v>0.07081</v>
      </c>
      <c r="H19" s="39" t="s">
        <v>1620</v>
      </c>
      <c r="I19" s="39">
        <f t="shared" si="1"/>
        <v>0</v>
      </c>
    </row>
    <row r="20" spans="1:9" ht="12.75">
      <c r="A20" s="20" t="s">
        <v>588</v>
      </c>
      <c r="B20" s="20" t="s">
        <v>638</v>
      </c>
      <c r="C20" s="20" t="s">
        <v>1012</v>
      </c>
      <c r="F20" s="39">
        <f t="shared" si="0"/>
        <v>0</v>
      </c>
      <c r="G20" s="39">
        <v>0.03791</v>
      </c>
      <c r="H20" s="39" t="s">
        <v>1620</v>
      </c>
      <c r="I20" s="39">
        <f t="shared" si="1"/>
        <v>0</v>
      </c>
    </row>
    <row r="21" spans="1:9" ht="12.75">
      <c r="A21" s="20" t="s">
        <v>588</v>
      </c>
      <c r="B21" s="20" t="s">
        <v>641</v>
      </c>
      <c r="C21" s="20" t="s">
        <v>1016</v>
      </c>
      <c r="F21" s="39">
        <f t="shared" si="0"/>
        <v>0</v>
      </c>
      <c r="G21" s="39">
        <v>0.36373</v>
      </c>
      <c r="H21" s="39" t="s">
        <v>1620</v>
      </c>
      <c r="I21" s="39">
        <f t="shared" si="1"/>
        <v>0</v>
      </c>
    </row>
    <row r="22" spans="1:9" ht="12.75">
      <c r="A22" s="20" t="s">
        <v>588</v>
      </c>
      <c r="B22" s="20" t="s">
        <v>96</v>
      </c>
      <c r="C22" s="20" t="s">
        <v>1021</v>
      </c>
      <c r="F22" s="39">
        <f t="shared" si="0"/>
        <v>0</v>
      </c>
      <c r="G22" s="39">
        <v>0</v>
      </c>
      <c r="H22" s="39" t="s">
        <v>1620</v>
      </c>
      <c r="I22" s="39">
        <f t="shared" si="1"/>
        <v>0</v>
      </c>
    </row>
    <row r="23" spans="1:9" ht="12.75">
      <c r="A23" s="20" t="s">
        <v>588</v>
      </c>
      <c r="B23" s="20" t="s">
        <v>100</v>
      </c>
      <c r="C23" s="20" t="s">
        <v>1024</v>
      </c>
      <c r="F23" s="39">
        <f t="shared" si="0"/>
        <v>0</v>
      </c>
      <c r="G23" s="39">
        <v>0.29072</v>
      </c>
      <c r="H23" s="39" t="s">
        <v>1620</v>
      </c>
      <c r="I23" s="39">
        <f t="shared" si="1"/>
        <v>0</v>
      </c>
    </row>
    <row r="24" spans="1:9" ht="12.75">
      <c r="A24" s="20" t="s">
        <v>588</v>
      </c>
      <c r="B24" s="20" t="s">
        <v>101</v>
      </c>
      <c r="C24" s="20" t="s">
        <v>1027</v>
      </c>
      <c r="F24" s="39">
        <f t="shared" si="0"/>
        <v>0</v>
      </c>
      <c r="G24" s="39">
        <v>0.00736</v>
      </c>
      <c r="H24" s="39" t="s">
        <v>1620</v>
      </c>
      <c r="I24" s="39">
        <f t="shared" si="1"/>
        <v>0</v>
      </c>
    </row>
    <row r="25" spans="1:9" ht="12.75">
      <c r="A25" s="20" t="s">
        <v>588</v>
      </c>
      <c r="B25" s="20" t="s">
        <v>647</v>
      </c>
      <c r="C25" s="20" t="s">
        <v>1029</v>
      </c>
      <c r="F25" s="39">
        <f t="shared" si="0"/>
        <v>0</v>
      </c>
      <c r="G25" s="39">
        <v>0</v>
      </c>
      <c r="H25" s="39" t="s">
        <v>1620</v>
      </c>
      <c r="I25" s="39">
        <f t="shared" si="1"/>
        <v>0</v>
      </c>
    </row>
    <row r="26" spans="1:9" ht="12.75">
      <c r="A26" s="20" t="s">
        <v>588</v>
      </c>
      <c r="B26" s="20" t="s">
        <v>649</v>
      </c>
      <c r="C26" s="20" t="s">
        <v>982</v>
      </c>
      <c r="F26" s="39">
        <f t="shared" si="0"/>
        <v>0</v>
      </c>
      <c r="G26" s="39">
        <v>0</v>
      </c>
      <c r="H26" s="39" t="s">
        <v>1620</v>
      </c>
      <c r="I26" s="39">
        <f t="shared" si="1"/>
        <v>0</v>
      </c>
    </row>
    <row r="27" spans="1:9" ht="12.75">
      <c r="A27" s="20" t="s">
        <v>588</v>
      </c>
      <c r="B27" s="20" t="s">
        <v>651</v>
      </c>
      <c r="C27" s="20" t="s">
        <v>995</v>
      </c>
      <c r="F27" s="39">
        <f t="shared" si="0"/>
        <v>0</v>
      </c>
      <c r="G27" s="39">
        <v>0</v>
      </c>
      <c r="H27" s="39" t="s">
        <v>1620</v>
      </c>
      <c r="I27" s="39">
        <f t="shared" si="1"/>
        <v>0</v>
      </c>
    </row>
    <row r="28" spans="1:9" ht="12.75">
      <c r="A28" s="20" t="s">
        <v>588</v>
      </c>
      <c r="B28" s="20" t="s">
        <v>653</v>
      </c>
      <c r="C28" s="20" t="s">
        <v>1003</v>
      </c>
      <c r="F28" s="39">
        <f t="shared" si="0"/>
        <v>0</v>
      </c>
      <c r="G28" s="39">
        <v>0</v>
      </c>
      <c r="H28" s="39" t="s">
        <v>1620</v>
      </c>
      <c r="I28" s="39">
        <f t="shared" si="1"/>
        <v>0</v>
      </c>
    </row>
    <row r="29" spans="1:9" ht="12.75">
      <c r="A29" s="20" t="s">
        <v>588</v>
      </c>
      <c r="B29" s="20" t="s">
        <v>655</v>
      </c>
      <c r="C29" s="20" t="s">
        <v>1007</v>
      </c>
      <c r="F29" s="39">
        <f t="shared" si="0"/>
        <v>0</v>
      </c>
      <c r="G29" s="39">
        <v>0</v>
      </c>
      <c r="H29" s="39" t="s">
        <v>1620</v>
      </c>
      <c r="I29" s="39">
        <f t="shared" si="1"/>
        <v>0</v>
      </c>
    </row>
    <row r="30" spans="1:9" ht="12.75">
      <c r="A30" s="20" t="s">
        <v>588</v>
      </c>
      <c r="B30" s="20" t="s">
        <v>657</v>
      </c>
      <c r="C30" s="20" t="s">
        <v>1010</v>
      </c>
      <c r="F30" s="39">
        <f t="shared" si="0"/>
        <v>0</v>
      </c>
      <c r="G30" s="39">
        <v>0</v>
      </c>
      <c r="H30" s="39" t="s">
        <v>1620</v>
      </c>
      <c r="I30" s="39">
        <f t="shared" si="1"/>
        <v>0</v>
      </c>
    </row>
    <row r="31" spans="1:9" ht="12.75">
      <c r="A31" s="20" t="s">
        <v>588</v>
      </c>
      <c r="B31" s="20" t="s">
        <v>659</v>
      </c>
      <c r="C31" s="20" t="s">
        <v>1036</v>
      </c>
      <c r="F31" s="39">
        <f t="shared" si="0"/>
        <v>0</v>
      </c>
      <c r="G31" s="39">
        <v>0.15858</v>
      </c>
      <c r="H31" s="39" t="s">
        <v>1620</v>
      </c>
      <c r="I31" s="39">
        <f t="shared" si="1"/>
        <v>0</v>
      </c>
    </row>
    <row r="32" spans="1:9" ht="12.75">
      <c r="A32" s="20" t="s">
        <v>589</v>
      </c>
      <c r="B32" s="20"/>
      <c r="C32" s="20" t="s">
        <v>1064</v>
      </c>
      <c r="F32" s="39">
        <f t="shared" si="0"/>
        <v>0</v>
      </c>
      <c r="G32" s="39">
        <v>48.42555</v>
      </c>
      <c r="H32" s="39" t="s">
        <v>1619</v>
      </c>
      <c r="I32" s="39">
        <f t="shared" si="1"/>
        <v>0</v>
      </c>
    </row>
    <row r="33" spans="1:9" ht="12.75">
      <c r="A33" s="20" t="s">
        <v>589</v>
      </c>
      <c r="B33" s="20" t="s">
        <v>40</v>
      </c>
      <c r="C33" s="20" t="s">
        <v>1065</v>
      </c>
      <c r="F33" s="39">
        <f t="shared" si="0"/>
        <v>0</v>
      </c>
      <c r="G33" s="39">
        <v>6.62996</v>
      </c>
      <c r="H33" s="39" t="s">
        <v>1620</v>
      </c>
      <c r="I33" s="39">
        <f t="shared" si="1"/>
        <v>0</v>
      </c>
    </row>
    <row r="34" spans="1:9" ht="12.75">
      <c r="A34" s="20" t="s">
        <v>589</v>
      </c>
      <c r="B34" s="20" t="s">
        <v>67</v>
      </c>
      <c r="C34" s="20" t="s">
        <v>958</v>
      </c>
      <c r="F34" s="39">
        <f t="shared" si="0"/>
        <v>0</v>
      </c>
      <c r="G34" s="39">
        <v>7.70424</v>
      </c>
      <c r="H34" s="39" t="s">
        <v>1620</v>
      </c>
      <c r="I34" s="39">
        <f t="shared" si="1"/>
        <v>0</v>
      </c>
    </row>
    <row r="35" spans="1:9" ht="12.75">
      <c r="A35" s="20" t="s">
        <v>589</v>
      </c>
      <c r="B35" s="20" t="s">
        <v>69</v>
      </c>
      <c r="C35" s="20" t="s">
        <v>1085</v>
      </c>
      <c r="F35" s="39">
        <f t="shared" si="0"/>
        <v>0</v>
      </c>
      <c r="G35" s="39">
        <v>13.2419</v>
      </c>
      <c r="H35" s="39" t="s">
        <v>1620</v>
      </c>
      <c r="I35" s="39">
        <f t="shared" si="1"/>
        <v>0</v>
      </c>
    </row>
    <row r="36" spans="1:9" ht="12.75">
      <c r="A36" s="20" t="s">
        <v>589</v>
      </c>
      <c r="B36" s="20" t="s">
        <v>70</v>
      </c>
      <c r="C36" s="20" t="s">
        <v>971</v>
      </c>
      <c r="F36" s="39">
        <f t="shared" si="0"/>
        <v>0</v>
      </c>
      <c r="G36" s="39">
        <v>0.20343</v>
      </c>
      <c r="H36" s="39" t="s">
        <v>1620</v>
      </c>
      <c r="I36" s="39">
        <f t="shared" si="1"/>
        <v>0</v>
      </c>
    </row>
    <row r="37" spans="1:9" ht="12.75">
      <c r="A37" s="20" t="s">
        <v>589</v>
      </c>
      <c r="B37" s="20" t="s">
        <v>689</v>
      </c>
      <c r="C37" s="20" t="s">
        <v>1091</v>
      </c>
      <c r="F37" s="39">
        <f t="shared" si="0"/>
        <v>0</v>
      </c>
      <c r="G37" s="39">
        <v>0.0821</v>
      </c>
      <c r="H37" s="39" t="s">
        <v>1620</v>
      </c>
      <c r="I37" s="39">
        <f t="shared" si="1"/>
        <v>0</v>
      </c>
    </row>
    <row r="38" spans="1:9" ht="12.75">
      <c r="A38" s="20" t="s">
        <v>589</v>
      </c>
      <c r="B38" s="20" t="s">
        <v>606</v>
      </c>
      <c r="C38" s="20" t="s">
        <v>978</v>
      </c>
      <c r="F38" s="39">
        <f t="shared" si="0"/>
        <v>0</v>
      </c>
      <c r="G38" s="39">
        <v>0.86988</v>
      </c>
      <c r="H38" s="39" t="s">
        <v>1620</v>
      </c>
      <c r="I38" s="39">
        <f t="shared" si="1"/>
        <v>0</v>
      </c>
    </row>
    <row r="39" spans="1:9" ht="12.75">
      <c r="A39" s="20" t="s">
        <v>589</v>
      </c>
      <c r="B39" s="20" t="s">
        <v>694</v>
      </c>
      <c r="C39" s="20" t="s">
        <v>1103</v>
      </c>
      <c r="F39" s="39">
        <f t="shared" si="0"/>
        <v>0</v>
      </c>
      <c r="G39" s="39">
        <v>0.03921</v>
      </c>
      <c r="H39" s="39" t="s">
        <v>1620</v>
      </c>
      <c r="I39" s="39">
        <f t="shared" si="1"/>
        <v>0</v>
      </c>
    </row>
    <row r="40" spans="1:9" ht="12.75">
      <c r="A40" s="20" t="s">
        <v>589</v>
      </c>
      <c r="B40" s="20" t="s">
        <v>705</v>
      </c>
      <c r="C40" s="20" t="s">
        <v>1116</v>
      </c>
      <c r="F40" s="39">
        <f t="shared" si="0"/>
        <v>0</v>
      </c>
      <c r="G40" s="39">
        <v>0.11601</v>
      </c>
      <c r="H40" s="39" t="s">
        <v>1620</v>
      </c>
      <c r="I40" s="39">
        <f t="shared" si="1"/>
        <v>0</v>
      </c>
    </row>
    <row r="41" spans="1:9" ht="12.75">
      <c r="A41" s="20" t="s">
        <v>589</v>
      </c>
      <c r="B41" s="20" t="s">
        <v>725</v>
      </c>
      <c r="C41" s="20" t="s">
        <v>1138</v>
      </c>
      <c r="F41" s="39">
        <f t="shared" si="0"/>
        <v>0</v>
      </c>
      <c r="G41" s="39">
        <v>0.56715</v>
      </c>
      <c r="H41" s="39" t="s">
        <v>1620</v>
      </c>
      <c r="I41" s="39">
        <f t="shared" si="1"/>
        <v>0</v>
      </c>
    </row>
    <row r="42" spans="1:9" ht="12.75">
      <c r="A42" s="20" t="s">
        <v>589</v>
      </c>
      <c r="B42" s="20" t="s">
        <v>751</v>
      </c>
      <c r="C42" s="20" t="s">
        <v>1170</v>
      </c>
      <c r="F42" s="39">
        <f t="shared" si="0"/>
        <v>0</v>
      </c>
      <c r="G42" s="39">
        <v>0.08504</v>
      </c>
      <c r="H42" s="39" t="s">
        <v>1620</v>
      </c>
      <c r="I42" s="39">
        <f t="shared" si="1"/>
        <v>0</v>
      </c>
    </row>
    <row r="43" spans="1:9" ht="12.75">
      <c r="A43" s="20" t="s">
        <v>589</v>
      </c>
      <c r="B43" s="20" t="s">
        <v>609</v>
      </c>
      <c r="C43" s="20" t="s">
        <v>982</v>
      </c>
      <c r="F43" s="39">
        <f aca="true" t="shared" si="2" ref="F43:F74">D43+E43</f>
        <v>0</v>
      </c>
      <c r="G43" s="39">
        <v>0.11106</v>
      </c>
      <c r="H43" s="39" t="s">
        <v>1620</v>
      </c>
      <c r="I43" s="39">
        <f aca="true" t="shared" si="3" ref="I43:I74">IF(H43="T",0,F43)</f>
        <v>0</v>
      </c>
    </row>
    <row r="44" spans="1:9" ht="12.75">
      <c r="A44" s="20" t="s">
        <v>589</v>
      </c>
      <c r="B44" s="20" t="s">
        <v>761</v>
      </c>
      <c r="C44" s="20" t="s">
        <v>1182</v>
      </c>
      <c r="F44" s="39">
        <f t="shared" si="2"/>
        <v>0</v>
      </c>
      <c r="G44" s="39">
        <v>0.02118</v>
      </c>
      <c r="H44" s="39" t="s">
        <v>1620</v>
      </c>
      <c r="I44" s="39">
        <f t="shared" si="3"/>
        <v>0</v>
      </c>
    </row>
    <row r="45" spans="1:9" ht="12.75">
      <c r="A45" s="20" t="s">
        <v>589</v>
      </c>
      <c r="B45" s="20" t="s">
        <v>763</v>
      </c>
      <c r="C45" s="20" t="s">
        <v>1185</v>
      </c>
      <c r="F45" s="39">
        <f t="shared" si="2"/>
        <v>0</v>
      </c>
      <c r="G45" s="39">
        <v>0.46299</v>
      </c>
      <c r="H45" s="39" t="s">
        <v>1620</v>
      </c>
      <c r="I45" s="39">
        <f t="shared" si="3"/>
        <v>0</v>
      </c>
    </row>
    <row r="46" spans="1:9" ht="12.75">
      <c r="A46" s="20" t="s">
        <v>589</v>
      </c>
      <c r="B46" s="20" t="s">
        <v>767</v>
      </c>
      <c r="C46" s="20" t="s">
        <v>1190</v>
      </c>
      <c r="F46" s="39">
        <f t="shared" si="2"/>
        <v>0</v>
      </c>
      <c r="G46" s="39">
        <v>0.94247</v>
      </c>
      <c r="H46" s="39" t="s">
        <v>1620</v>
      </c>
      <c r="I46" s="39">
        <f t="shared" si="3"/>
        <v>0</v>
      </c>
    </row>
    <row r="47" spans="1:9" ht="12.75">
      <c r="A47" s="20" t="s">
        <v>589</v>
      </c>
      <c r="B47" s="20" t="s">
        <v>622</v>
      </c>
      <c r="C47" s="20" t="s">
        <v>995</v>
      </c>
      <c r="F47" s="39">
        <f t="shared" si="2"/>
        <v>0</v>
      </c>
      <c r="G47" s="39">
        <v>1.36897</v>
      </c>
      <c r="H47" s="39" t="s">
        <v>1620</v>
      </c>
      <c r="I47" s="39">
        <f t="shared" si="3"/>
        <v>0</v>
      </c>
    </row>
    <row r="48" spans="1:9" ht="12.75">
      <c r="A48" s="20" t="s">
        <v>589</v>
      </c>
      <c r="B48" s="20" t="s">
        <v>783</v>
      </c>
      <c r="C48" s="20" t="s">
        <v>1211</v>
      </c>
      <c r="F48" s="39">
        <f t="shared" si="2"/>
        <v>0</v>
      </c>
      <c r="G48" s="39">
        <v>0.17241</v>
      </c>
      <c r="H48" s="39" t="s">
        <v>1620</v>
      </c>
      <c r="I48" s="39">
        <f t="shared" si="3"/>
        <v>0</v>
      </c>
    </row>
    <row r="49" spans="1:9" ht="12.75">
      <c r="A49" s="20" t="s">
        <v>589</v>
      </c>
      <c r="B49" s="20" t="s">
        <v>630</v>
      </c>
      <c r="C49" s="20" t="s">
        <v>1003</v>
      </c>
      <c r="F49" s="39">
        <f t="shared" si="2"/>
        <v>0</v>
      </c>
      <c r="G49" s="39">
        <v>1.16288</v>
      </c>
      <c r="H49" s="39" t="s">
        <v>1620</v>
      </c>
      <c r="I49" s="39">
        <f t="shared" si="3"/>
        <v>0</v>
      </c>
    </row>
    <row r="50" spans="1:9" ht="12.75">
      <c r="A50" s="20" t="s">
        <v>589</v>
      </c>
      <c r="B50" s="20" t="s">
        <v>789</v>
      </c>
      <c r="C50" s="20" t="s">
        <v>1227</v>
      </c>
      <c r="F50" s="39">
        <f t="shared" si="2"/>
        <v>0</v>
      </c>
      <c r="G50" s="39">
        <v>1.43439</v>
      </c>
      <c r="H50" s="39" t="s">
        <v>1620</v>
      </c>
      <c r="I50" s="39">
        <f t="shared" si="3"/>
        <v>0</v>
      </c>
    </row>
    <row r="51" spans="1:9" ht="12.75">
      <c r="A51" s="20" t="s">
        <v>589</v>
      </c>
      <c r="B51" s="20" t="s">
        <v>634</v>
      </c>
      <c r="C51" s="20" t="s">
        <v>1007</v>
      </c>
      <c r="F51" s="39">
        <f t="shared" si="2"/>
        <v>0</v>
      </c>
      <c r="G51" s="39">
        <v>0.1592</v>
      </c>
      <c r="H51" s="39" t="s">
        <v>1620</v>
      </c>
      <c r="I51" s="39">
        <f t="shared" si="3"/>
        <v>0</v>
      </c>
    </row>
    <row r="52" spans="1:9" ht="12.75">
      <c r="A52" s="20" t="s">
        <v>589</v>
      </c>
      <c r="B52" s="20" t="s">
        <v>795</v>
      </c>
      <c r="C52" s="20" t="s">
        <v>1236</v>
      </c>
      <c r="F52" s="39">
        <f t="shared" si="2"/>
        <v>0</v>
      </c>
      <c r="G52" s="39">
        <v>5.23766</v>
      </c>
      <c r="H52" s="39" t="s">
        <v>1620</v>
      </c>
      <c r="I52" s="39">
        <f t="shared" si="3"/>
        <v>0</v>
      </c>
    </row>
    <row r="53" spans="1:9" ht="12.75">
      <c r="A53" s="20" t="s">
        <v>589</v>
      </c>
      <c r="B53" s="20" t="s">
        <v>638</v>
      </c>
      <c r="C53" s="20" t="s">
        <v>1012</v>
      </c>
      <c r="F53" s="39">
        <f t="shared" si="2"/>
        <v>0</v>
      </c>
      <c r="G53" s="39">
        <v>0.01377</v>
      </c>
      <c r="H53" s="39" t="s">
        <v>1620</v>
      </c>
      <c r="I53" s="39">
        <f t="shared" si="3"/>
        <v>0</v>
      </c>
    </row>
    <row r="54" spans="1:9" ht="12.75">
      <c r="A54" s="20" t="s">
        <v>589</v>
      </c>
      <c r="B54" s="20" t="s">
        <v>641</v>
      </c>
      <c r="C54" s="20" t="s">
        <v>1016</v>
      </c>
      <c r="F54" s="39">
        <f t="shared" si="2"/>
        <v>0</v>
      </c>
      <c r="G54" s="39">
        <v>0.26413</v>
      </c>
      <c r="H54" s="39" t="s">
        <v>1620</v>
      </c>
      <c r="I54" s="39">
        <f t="shared" si="3"/>
        <v>0</v>
      </c>
    </row>
    <row r="55" spans="1:9" ht="12.75">
      <c r="A55" s="20" t="s">
        <v>589</v>
      </c>
      <c r="B55" s="20" t="s">
        <v>96</v>
      </c>
      <c r="C55" s="20" t="s">
        <v>1021</v>
      </c>
      <c r="F55" s="39">
        <f t="shared" si="2"/>
        <v>0</v>
      </c>
      <c r="G55" s="39">
        <v>0</v>
      </c>
      <c r="H55" s="39" t="s">
        <v>1620</v>
      </c>
      <c r="I55" s="39">
        <f t="shared" si="3"/>
        <v>0</v>
      </c>
    </row>
    <row r="56" spans="1:9" ht="12.75">
      <c r="A56" s="20" t="s">
        <v>589</v>
      </c>
      <c r="B56" s="20" t="s">
        <v>100</v>
      </c>
      <c r="C56" s="20" t="s">
        <v>1024</v>
      </c>
      <c r="F56" s="39">
        <f t="shared" si="2"/>
        <v>0</v>
      </c>
      <c r="G56" s="39">
        <v>0.29911</v>
      </c>
      <c r="H56" s="39" t="s">
        <v>1620</v>
      </c>
      <c r="I56" s="39">
        <f t="shared" si="3"/>
        <v>0</v>
      </c>
    </row>
    <row r="57" spans="1:9" ht="12.75">
      <c r="A57" s="20" t="s">
        <v>589</v>
      </c>
      <c r="B57" s="20" t="s">
        <v>101</v>
      </c>
      <c r="C57" s="20" t="s">
        <v>1027</v>
      </c>
      <c r="F57" s="39">
        <f t="shared" si="2"/>
        <v>0</v>
      </c>
      <c r="G57" s="39">
        <v>0.00757</v>
      </c>
      <c r="H57" s="39" t="s">
        <v>1620</v>
      </c>
      <c r="I57" s="39">
        <f t="shared" si="3"/>
        <v>0</v>
      </c>
    </row>
    <row r="58" spans="1:9" ht="12.75">
      <c r="A58" s="20" t="s">
        <v>589</v>
      </c>
      <c r="B58" s="20" t="s">
        <v>102</v>
      </c>
      <c r="C58" s="20" t="s">
        <v>1254</v>
      </c>
      <c r="F58" s="39">
        <f t="shared" si="2"/>
        <v>0</v>
      </c>
      <c r="G58" s="39">
        <v>6.56183</v>
      </c>
      <c r="H58" s="39" t="s">
        <v>1620</v>
      </c>
      <c r="I58" s="39">
        <f t="shared" si="3"/>
        <v>0</v>
      </c>
    </row>
    <row r="59" spans="1:9" ht="12.75">
      <c r="A59" s="20" t="s">
        <v>589</v>
      </c>
      <c r="B59" s="20" t="s">
        <v>103</v>
      </c>
      <c r="C59" s="20" t="s">
        <v>1269</v>
      </c>
      <c r="F59" s="39">
        <f t="shared" si="2"/>
        <v>0</v>
      </c>
      <c r="G59" s="39">
        <v>0.38546</v>
      </c>
      <c r="H59" s="39" t="s">
        <v>1620</v>
      </c>
      <c r="I59" s="39">
        <f t="shared" si="3"/>
        <v>0</v>
      </c>
    </row>
    <row r="60" spans="1:9" ht="12.75">
      <c r="A60" s="20" t="s">
        <v>589</v>
      </c>
      <c r="B60" s="20" t="s">
        <v>647</v>
      </c>
      <c r="C60" s="20" t="s">
        <v>1029</v>
      </c>
      <c r="F60" s="39">
        <f t="shared" si="2"/>
        <v>0</v>
      </c>
      <c r="G60" s="39">
        <v>0</v>
      </c>
      <c r="H60" s="39" t="s">
        <v>1620</v>
      </c>
      <c r="I60" s="39">
        <f t="shared" si="3"/>
        <v>0</v>
      </c>
    </row>
    <row r="61" spans="1:9" ht="12.75">
      <c r="A61" s="20" t="s">
        <v>589</v>
      </c>
      <c r="B61" s="20" t="s">
        <v>811</v>
      </c>
      <c r="C61" s="20" t="s">
        <v>1091</v>
      </c>
      <c r="F61" s="39">
        <f t="shared" si="2"/>
        <v>0</v>
      </c>
      <c r="G61" s="39">
        <v>0</v>
      </c>
      <c r="H61" s="39" t="s">
        <v>1620</v>
      </c>
      <c r="I61" s="39">
        <f t="shared" si="3"/>
        <v>0</v>
      </c>
    </row>
    <row r="62" spans="1:9" ht="12.75">
      <c r="A62" s="20" t="s">
        <v>589</v>
      </c>
      <c r="B62" s="20" t="s">
        <v>813</v>
      </c>
      <c r="C62" s="20" t="s">
        <v>978</v>
      </c>
      <c r="F62" s="39">
        <f t="shared" si="2"/>
        <v>0</v>
      </c>
      <c r="G62" s="39">
        <v>0</v>
      </c>
      <c r="H62" s="39" t="s">
        <v>1620</v>
      </c>
      <c r="I62" s="39">
        <f t="shared" si="3"/>
        <v>0</v>
      </c>
    </row>
    <row r="63" spans="1:9" ht="12.75">
      <c r="A63" s="20" t="s">
        <v>589</v>
      </c>
      <c r="B63" s="20" t="s">
        <v>815</v>
      </c>
      <c r="C63" s="20" t="s">
        <v>1276</v>
      </c>
      <c r="F63" s="39">
        <f t="shared" si="2"/>
        <v>0</v>
      </c>
      <c r="G63" s="39">
        <v>0</v>
      </c>
      <c r="H63" s="39" t="s">
        <v>1620</v>
      </c>
      <c r="I63" s="39">
        <f t="shared" si="3"/>
        <v>0</v>
      </c>
    </row>
    <row r="64" spans="1:9" ht="12.75">
      <c r="A64" s="20" t="s">
        <v>589</v>
      </c>
      <c r="B64" s="20" t="s">
        <v>817</v>
      </c>
      <c r="C64" s="20" t="s">
        <v>1103</v>
      </c>
      <c r="F64" s="39">
        <f t="shared" si="2"/>
        <v>0</v>
      </c>
      <c r="G64" s="39">
        <v>0</v>
      </c>
      <c r="H64" s="39" t="s">
        <v>1620</v>
      </c>
      <c r="I64" s="39">
        <f t="shared" si="3"/>
        <v>0</v>
      </c>
    </row>
    <row r="65" spans="1:9" ht="12.75">
      <c r="A65" s="20" t="s">
        <v>589</v>
      </c>
      <c r="B65" s="20" t="s">
        <v>819</v>
      </c>
      <c r="C65" s="20" t="s">
        <v>1116</v>
      </c>
      <c r="F65" s="39">
        <f t="shared" si="2"/>
        <v>0</v>
      </c>
      <c r="G65" s="39">
        <v>0</v>
      </c>
      <c r="H65" s="39" t="s">
        <v>1620</v>
      </c>
      <c r="I65" s="39">
        <f t="shared" si="3"/>
        <v>0</v>
      </c>
    </row>
    <row r="66" spans="1:9" ht="12.75">
      <c r="A66" s="20" t="s">
        <v>589</v>
      </c>
      <c r="B66" s="20" t="s">
        <v>821</v>
      </c>
      <c r="C66" s="20" t="s">
        <v>1138</v>
      </c>
      <c r="F66" s="39">
        <f t="shared" si="2"/>
        <v>0</v>
      </c>
      <c r="G66" s="39">
        <v>0</v>
      </c>
      <c r="H66" s="39" t="s">
        <v>1620</v>
      </c>
      <c r="I66" s="39">
        <f t="shared" si="3"/>
        <v>0</v>
      </c>
    </row>
    <row r="67" spans="1:9" ht="12.75">
      <c r="A67" s="20" t="s">
        <v>589</v>
      </c>
      <c r="B67" s="20" t="s">
        <v>649</v>
      </c>
      <c r="C67" s="20" t="s">
        <v>982</v>
      </c>
      <c r="F67" s="39">
        <f t="shared" si="2"/>
        <v>0</v>
      </c>
      <c r="G67" s="39">
        <v>0</v>
      </c>
      <c r="H67" s="39" t="s">
        <v>1620</v>
      </c>
      <c r="I67" s="39">
        <f t="shared" si="3"/>
        <v>0</v>
      </c>
    </row>
    <row r="68" spans="1:9" ht="12.75">
      <c r="A68" s="20" t="s">
        <v>589</v>
      </c>
      <c r="B68" s="20" t="s">
        <v>824</v>
      </c>
      <c r="C68" s="20" t="s">
        <v>1182</v>
      </c>
      <c r="F68" s="39">
        <f t="shared" si="2"/>
        <v>0</v>
      </c>
      <c r="G68" s="39">
        <v>0</v>
      </c>
      <c r="H68" s="39" t="s">
        <v>1620</v>
      </c>
      <c r="I68" s="39">
        <f t="shared" si="3"/>
        <v>0</v>
      </c>
    </row>
    <row r="69" spans="1:9" ht="12.75">
      <c r="A69" s="20" t="s">
        <v>589</v>
      </c>
      <c r="B69" s="20" t="s">
        <v>826</v>
      </c>
      <c r="C69" s="20" t="s">
        <v>1185</v>
      </c>
      <c r="F69" s="39">
        <f t="shared" si="2"/>
        <v>0</v>
      </c>
      <c r="G69" s="39">
        <v>0</v>
      </c>
      <c r="H69" s="39" t="s">
        <v>1620</v>
      </c>
      <c r="I69" s="39">
        <f t="shared" si="3"/>
        <v>0</v>
      </c>
    </row>
    <row r="70" spans="1:9" ht="12.75">
      <c r="A70" s="20" t="s">
        <v>589</v>
      </c>
      <c r="B70" s="20" t="s">
        <v>828</v>
      </c>
      <c r="C70" s="20" t="s">
        <v>1190</v>
      </c>
      <c r="F70" s="39">
        <f t="shared" si="2"/>
        <v>0</v>
      </c>
      <c r="G70" s="39">
        <v>0</v>
      </c>
      <c r="H70" s="39" t="s">
        <v>1620</v>
      </c>
      <c r="I70" s="39">
        <f t="shared" si="3"/>
        <v>0</v>
      </c>
    </row>
    <row r="71" spans="1:9" ht="12.75">
      <c r="A71" s="20" t="s">
        <v>589</v>
      </c>
      <c r="B71" s="20" t="s">
        <v>651</v>
      </c>
      <c r="C71" s="20" t="s">
        <v>995</v>
      </c>
      <c r="F71" s="39">
        <f t="shared" si="2"/>
        <v>0</v>
      </c>
      <c r="G71" s="39">
        <v>0</v>
      </c>
      <c r="H71" s="39" t="s">
        <v>1620</v>
      </c>
      <c r="I71" s="39">
        <f t="shared" si="3"/>
        <v>0</v>
      </c>
    </row>
    <row r="72" spans="1:9" ht="12.75">
      <c r="A72" s="20" t="s">
        <v>589</v>
      </c>
      <c r="B72" s="20" t="s">
        <v>831</v>
      </c>
      <c r="C72" s="20" t="s">
        <v>1211</v>
      </c>
      <c r="F72" s="39">
        <f t="shared" si="2"/>
        <v>0</v>
      </c>
      <c r="G72" s="39">
        <v>0</v>
      </c>
      <c r="H72" s="39" t="s">
        <v>1620</v>
      </c>
      <c r="I72" s="39">
        <f t="shared" si="3"/>
        <v>0</v>
      </c>
    </row>
    <row r="73" spans="1:9" ht="12.75">
      <c r="A73" s="20" t="s">
        <v>589</v>
      </c>
      <c r="B73" s="20" t="s">
        <v>653</v>
      </c>
      <c r="C73" s="20" t="s">
        <v>1003</v>
      </c>
      <c r="F73" s="39">
        <f t="shared" si="2"/>
        <v>0</v>
      </c>
      <c r="G73" s="39">
        <v>0</v>
      </c>
      <c r="H73" s="39" t="s">
        <v>1620</v>
      </c>
      <c r="I73" s="39">
        <f t="shared" si="3"/>
        <v>0</v>
      </c>
    </row>
    <row r="74" spans="1:9" ht="12.75">
      <c r="A74" s="20" t="s">
        <v>589</v>
      </c>
      <c r="B74" s="20" t="s">
        <v>834</v>
      </c>
      <c r="C74" s="20" t="s">
        <v>1227</v>
      </c>
      <c r="F74" s="39">
        <f t="shared" si="2"/>
        <v>0</v>
      </c>
      <c r="G74" s="39">
        <v>0</v>
      </c>
      <c r="H74" s="39" t="s">
        <v>1620</v>
      </c>
      <c r="I74" s="39">
        <f t="shared" si="3"/>
        <v>0</v>
      </c>
    </row>
    <row r="75" spans="1:9" ht="12.75">
      <c r="A75" s="20" t="s">
        <v>589</v>
      </c>
      <c r="B75" s="20" t="s">
        <v>655</v>
      </c>
      <c r="C75" s="20" t="s">
        <v>1007</v>
      </c>
      <c r="F75" s="39">
        <f aca="true" t="shared" si="4" ref="F75:F106">D75+E75</f>
        <v>0</v>
      </c>
      <c r="G75" s="39">
        <v>0</v>
      </c>
      <c r="H75" s="39" t="s">
        <v>1620</v>
      </c>
      <c r="I75" s="39">
        <f aca="true" t="shared" si="5" ref="I75:I106">IF(H75="T",0,F75)</f>
        <v>0</v>
      </c>
    </row>
    <row r="76" spans="1:9" ht="12.75">
      <c r="A76" s="20" t="s">
        <v>589</v>
      </c>
      <c r="B76" s="20" t="s">
        <v>837</v>
      </c>
      <c r="C76" s="20" t="s">
        <v>1236</v>
      </c>
      <c r="F76" s="39">
        <f t="shared" si="4"/>
        <v>0</v>
      </c>
      <c r="G76" s="39">
        <v>0</v>
      </c>
      <c r="H76" s="39" t="s">
        <v>1620</v>
      </c>
      <c r="I76" s="39">
        <f t="shared" si="5"/>
        <v>0</v>
      </c>
    </row>
    <row r="77" spans="1:9" ht="12.75">
      <c r="A77" s="20" t="s">
        <v>589</v>
      </c>
      <c r="B77" s="20" t="s">
        <v>659</v>
      </c>
      <c r="C77" s="20" t="s">
        <v>1036</v>
      </c>
      <c r="F77" s="39">
        <f t="shared" si="4"/>
        <v>0</v>
      </c>
      <c r="G77" s="39">
        <v>0.28155</v>
      </c>
      <c r="H77" s="39" t="s">
        <v>1620</v>
      </c>
      <c r="I77" s="39">
        <f t="shared" si="5"/>
        <v>0</v>
      </c>
    </row>
    <row r="78" spans="1:9" ht="12.75">
      <c r="A78" s="20" t="s">
        <v>590</v>
      </c>
      <c r="B78" s="20"/>
      <c r="C78" s="20" t="s">
        <v>1308</v>
      </c>
      <c r="F78" s="39">
        <f t="shared" si="4"/>
        <v>0</v>
      </c>
      <c r="G78" s="39">
        <v>48.47345</v>
      </c>
      <c r="H78" s="39" t="s">
        <v>1619</v>
      </c>
      <c r="I78" s="39">
        <f t="shared" si="5"/>
        <v>0</v>
      </c>
    </row>
    <row r="79" spans="1:9" ht="12.75">
      <c r="A79" s="20" t="s">
        <v>590</v>
      </c>
      <c r="B79" s="20" t="s">
        <v>40</v>
      </c>
      <c r="C79" s="20" t="s">
        <v>1065</v>
      </c>
      <c r="F79" s="39">
        <f t="shared" si="4"/>
        <v>0</v>
      </c>
      <c r="G79" s="39">
        <v>6.62986</v>
      </c>
      <c r="H79" s="39" t="s">
        <v>1620</v>
      </c>
      <c r="I79" s="39">
        <f t="shared" si="5"/>
        <v>0</v>
      </c>
    </row>
    <row r="80" spans="1:9" ht="12.75">
      <c r="A80" s="20" t="s">
        <v>590</v>
      </c>
      <c r="B80" s="20" t="s">
        <v>67</v>
      </c>
      <c r="C80" s="20" t="s">
        <v>958</v>
      </c>
      <c r="F80" s="39">
        <f t="shared" si="4"/>
        <v>0</v>
      </c>
      <c r="G80" s="39">
        <v>7.70424</v>
      </c>
      <c r="H80" s="39" t="s">
        <v>1620</v>
      </c>
      <c r="I80" s="39">
        <f t="shared" si="5"/>
        <v>0</v>
      </c>
    </row>
    <row r="81" spans="1:9" ht="12.75">
      <c r="A81" s="20" t="s">
        <v>590</v>
      </c>
      <c r="B81" s="20" t="s">
        <v>69</v>
      </c>
      <c r="C81" s="20" t="s">
        <v>1085</v>
      </c>
      <c r="F81" s="39">
        <f t="shared" si="4"/>
        <v>0</v>
      </c>
      <c r="G81" s="39">
        <v>13.2419</v>
      </c>
      <c r="H81" s="39" t="s">
        <v>1620</v>
      </c>
      <c r="I81" s="39">
        <f t="shared" si="5"/>
        <v>0</v>
      </c>
    </row>
    <row r="82" spans="1:9" ht="12.75">
      <c r="A82" s="20" t="s">
        <v>590</v>
      </c>
      <c r="B82" s="20" t="s">
        <v>70</v>
      </c>
      <c r="C82" s="20" t="s">
        <v>971</v>
      </c>
      <c r="F82" s="39">
        <f t="shared" si="4"/>
        <v>0</v>
      </c>
      <c r="G82" s="39">
        <v>0.20343</v>
      </c>
      <c r="H82" s="39" t="s">
        <v>1620</v>
      </c>
      <c r="I82" s="39">
        <f t="shared" si="5"/>
        <v>0</v>
      </c>
    </row>
    <row r="83" spans="1:9" ht="12.75">
      <c r="A83" s="20" t="s">
        <v>590</v>
      </c>
      <c r="B83" s="20" t="s">
        <v>689</v>
      </c>
      <c r="C83" s="20" t="s">
        <v>1091</v>
      </c>
      <c r="F83" s="39">
        <f t="shared" si="4"/>
        <v>0</v>
      </c>
      <c r="G83" s="39">
        <v>0.0821</v>
      </c>
      <c r="H83" s="39" t="s">
        <v>1620</v>
      </c>
      <c r="I83" s="39">
        <f t="shared" si="5"/>
        <v>0</v>
      </c>
    </row>
    <row r="84" spans="1:9" ht="12.75">
      <c r="A84" s="20" t="s">
        <v>590</v>
      </c>
      <c r="B84" s="20" t="s">
        <v>606</v>
      </c>
      <c r="C84" s="20" t="s">
        <v>978</v>
      </c>
      <c r="F84" s="39">
        <f t="shared" si="4"/>
        <v>0</v>
      </c>
      <c r="G84" s="39">
        <v>0.86988</v>
      </c>
      <c r="H84" s="39" t="s">
        <v>1620</v>
      </c>
      <c r="I84" s="39">
        <f t="shared" si="5"/>
        <v>0</v>
      </c>
    </row>
    <row r="85" spans="1:9" ht="12.75">
      <c r="A85" s="20" t="s">
        <v>590</v>
      </c>
      <c r="B85" s="20" t="s">
        <v>694</v>
      </c>
      <c r="C85" s="20" t="s">
        <v>1103</v>
      </c>
      <c r="F85" s="39">
        <f t="shared" si="4"/>
        <v>0</v>
      </c>
      <c r="G85" s="39">
        <v>0.03921</v>
      </c>
      <c r="H85" s="39" t="s">
        <v>1620</v>
      </c>
      <c r="I85" s="39">
        <f t="shared" si="5"/>
        <v>0</v>
      </c>
    </row>
    <row r="86" spans="1:9" ht="12.75">
      <c r="A86" s="20" t="s">
        <v>590</v>
      </c>
      <c r="B86" s="20" t="s">
        <v>705</v>
      </c>
      <c r="C86" s="20" t="s">
        <v>1116</v>
      </c>
      <c r="F86" s="39">
        <f t="shared" si="4"/>
        <v>0</v>
      </c>
      <c r="G86" s="39">
        <v>0.11601</v>
      </c>
      <c r="H86" s="39" t="s">
        <v>1620</v>
      </c>
      <c r="I86" s="39">
        <f t="shared" si="5"/>
        <v>0</v>
      </c>
    </row>
    <row r="87" spans="1:9" ht="12.75">
      <c r="A87" s="20" t="s">
        <v>590</v>
      </c>
      <c r="B87" s="20" t="s">
        <v>725</v>
      </c>
      <c r="C87" s="20" t="s">
        <v>1138</v>
      </c>
      <c r="F87" s="39">
        <f t="shared" si="4"/>
        <v>0</v>
      </c>
      <c r="G87" s="39">
        <v>0.56715</v>
      </c>
      <c r="H87" s="39" t="s">
        <v>1620</v>
      </c>
      <c r="I87" s="39">
        <f t="shared" si="5"/>
        <v>0</v>
      </c>
    </row>
    <row r="88" spans="1:9" ht="12.75">
      <c r="A88" s="20" t="s">
        <v>590</v>
      </c>
      <c r="B88" s="20" t="s">
        <v>751</v>
      </c>
      <c r="C88" s="20" t="s">
        <v>1170</v>
      </c>
      <c r="F88" s="39">
        <f t="shared" si="4"/>
        <v>0</v>
      </c>
      <c r="G88" s="39">
        <v>0.08504</v>
      </c>
      <c r="H88" s="39" t="s">
        <v>1620</v>
      </c>
      <c r="I88" s="39">
        <f t="shared" si="5"/>
        <v>0</v>
      </c>
    </row>
    <row r="89" spans="1:9" ht="12.75">
      <c r="A89" s="20" t="s">
        <v>590</v>
      </c>
      <c r="B89" s="20" t="s">
        <v>609</v>
      </c>
      <c r="C89" s="20" t="s">
        <v>982</v>
      </c>
      <c r="F89" s="39">
        <f t="shared" si="4"/>
        <v>0</v>
      </c>
      <c r="G89" s="39">
        <v>0.11106</v>
      </c>
      <c r="H89" s="39" t="s">
        <v>1620</v>
      </c>
      <c r="I89" s="39">
        <f t="shared" si="5"/>
        <v>0</v>
      </c>
    </row>
    <row r="90" spans="1:9" ht="12.75">
      <c r="A90" s="20" t="s">
        <v>590</v>
      </c>
      <c r="B90" s="20" t="s">
        <v>761</v>
      </c>
      <c r="C90" s="20" t="s">
        <v>1182</v>
      </c>
      <c r="F90" s="39">
        <f t="shared" si="4"/>
        <v>0</v>
      </c>
      <c r="G90" s="39">
        <v>0.02118</v>
      </c>
      <c r="H90" s="39" t="s">
        <v>1620</v>
      </c>
      <c r="I90" s="39">
        <f t="shared" si="5"/>
        <v>0</v>
      </c>
    </row>
    <row r="91" spans="1:9" ht="12.75">
      <c r="A91" s="20" t="s">
        <v>590</v>
      </c>
      <c r="B91" s="20" t="s">
        <v>763</v>
      </c>
      <c r="C91" s="20" t="s">
        <v>1185</v>
      </c>
      <c r="F91" s="39">
        <f t="shared" si="4"/>
        <v>0</v>
      </c>
      <c r="G91" s="39">
        <v>0.46299</v>
      </c>
      <c r="H91" s="39" t="s">
        <v>1620</v>
      </c>
      <c r="I91" s="39">
        <f t="shared" si="5"/>
        <v>0</v>
      </c>
    </row>
    <row r="92" spans="1:9" ht="12.75">
      <c r="A92" s="20" t="s">
        <v>590</v>
      </c>
      <c r="B92" s="20" t="s">
        <v>767</v>
      </c>
      <c r="C92" s="20" t="s">
        <v>1190</v>
      </c>
      <c r="F92" s="39">
        <f t="shared" si="4"/>
        <v>0</v>
      </c>
      <c r="G92" s="39">
        <v>0.94247</v>
      </c>
      <c r="H92" s="39" t="s">
        <v>1620</v>
      </c>
      <c r="I92" s="39">
        <f t="shared" si="5"/>
        <v>0</v>
      </c>
    </row>
    <row r="93" spans="1:9" ht="12.75">
      <c r="A93" s="20" t="s">
        <v>590</v>
      </c>
      <c r="B93" s="20" t="s">
        <v>622</v>
      </c>
      <c r="C93" s="20" t="s">
        <v>995</v>
      </c>
      <c r="F93" s="39">
        <f t="shared" si="4"/>
        <v>0</v>
      </c>
      <c r="G93" s="39">
        <v>1.36897</v>
      </c>
      <c r="H93" s="39" t="s">
        <v>1620</v>
      </c>
      <c r="I93" s="39">
        <f t="shared" si="5"/>
        <v>0</v>
      </c>
    </row>
    <row r="94" spans="1:9" ht="12.75">
      <c r="A94" s="20" t="s">
        <v>590</v>
      </c>
      <c r="B94" s="20" t="s">
        <v>783</v>
      </c>
      <c r="C94" s="20" t="s">
        <v>1211</v>
      </c>
      <c r="F94" s="39">
        <f t="shared" si="4"/>
        <v>0</v>
      </c>
      <c r="G94" s="39">
        <v>0.17241</v>
      </c>
      <c r="H94" s="39" t="s">
        <v>1620</v>
      </c>
      <c r="I94" s="39">
        <f t="shared" si="5"/>
        <v>0</v>
      </c>
    </row>
    <row r="95" spans="1:9" ht="12.75">
      <c r="A95" s="20" t="s">
        <v>590</v>
      </c>
      <c r="B95" s="20" t="s">
        <v>630</v>
      </c>
      <c r="C95" s="20" t="s">
        <v>1003</v>
      </c>
      <c r="F95" s="39">
        <f t="shared" si="4"/>
        <v>0</v>
      </c>
      <c r="G95" s="39">
        <v>1.16288</v>
      </c>
      <c r="H95" s="39" t="s">
        <v>1620</v>
      </c>
      <c r="I95" s="39">
        <f t="shared" si="5"/>
        <v>0</v>
      </c>
    </row>
    <row r="96" spans="1:9" ht="12.75">
      <c r="A96" s="20" t="s">
        <v>590</v>
      </c>
      <c r="B96" s="20" t="s">
        <v>789</v>
      </c>
      <c r="C96" s="20" t="s">
        <v>1227</v>
      </c>
      <c r="F96" s="39">
        <f t="shared" si="4"/>
        <v>0</v>
      </c>
      <c r="G96" s="39">
        <v>1.43439</v>
      </c>
      <c r="H96" s="39" t="s">
        <v>1620</v>
      </c>
      <c r="I96" s="39">
        <f t="shared" si="5"/>
        <v>0</v>
      </c>
    </row>
    <row r="97" spans="1:9" ht="12.75">
      <c r="A97" s="20" t="s">
        <v>590</v>
      </c>
      <c r="B97" s="20" t="s">
        <v>634</v>
      </c>
      <c r="C97" s="20" t="s">
        <v>1007</v>
      </c>
      <c r="F97" s="39">
        <f t="shared" si="4"/>
        <v>0</v>
      </c>
      <c r="G97" s="39">
        <v>0.1592</v>
      </c>
      <c r="H97" s="39" t="s">
        <v>1620</v>
      </c>
      <c r="I97" s="39">
        <f t="shared" si="5"/>
        <v>0</v>
      </c>
    </row>
    <row r="98" spans="1:9" ht="12.75">
      <c r="A98" s="20" t="s">
        <v>590</v>
      </c>
      <c r="B98" s="20" t="s">
        <v>795</v>
      </c>
      <c r="C98" s="20" t="s">
        <v>1236</v>
      </c>
      <c r="F98" s="39">
        <f t="shared" si="4"/>
        <v>0</v>
      </c>
      <c r="G98" s="39">
        <v>5.23766</v>
      </c>
      <c r="H98" s="39" t="s">
        <v>1620</v>
      </c>
      <c r="I98" s="39">
        <f t="shared" si="5"/>
        <v>0</v>
      </c>
    </row>
    <row r="99" spans="1:9" ht="12.75">
      <c r="A99" s="20" t="s">
        <v>590</v>
      </c>
      <c r="B99" s="20" t="s">
        <v>638</v>
      </c>
      <c r="C99" s="20" t="s">
        <v>1012</v>
      </c>
      <c r="F99" s="39">
        <f t="shared" si="4"/>
        <v>0</v>
      </c>
      <c r="G99" s="39">
        <v>0.01377</v>
      </c>
      <c r="H99" s="39" t="s">
        <v>1620</v>
      </c>
      <c r="I99" s="39">
        <f t="shared" si="5"/>
        <v>0</v>
      </c>
    </row>
    <row r="100" spans="1:9" ht="12.75">
      <c r="A100" s="20" t="s">
        <v>590</v>
      </c>
      <c r="B100" s="20" t="s">
        <v>641</v>
      </c>
      <c r="C100" s="20" t="s">
        <v>1016</v>
      </c>
      <c r="F100" s="39">
        <f t="shared" si="4"/>
        <v>0</v>
      </c>
      <c r="G100" s="39">
        <v>0.26413</v>
      </c>
      <c r="H100" s="39" t="s">
        <v>1620</v>
      </c>
      <c r="I100" s="39">
        <f t="shared" si="5"/>
        <v>0</v>
      </c>
    </row>
    <row r="101" spans="1:9" ht="12.75">
      <c r="A101" s="20" t="s">
        <v>590</v>
      </c>
      <c r="B101" s="20" t="s">
        <v>96</v>
      </c>
      <c r="C101" s="20" t="s">
        <v>1021</v>
      </c>
      <c r="F101" s="39">
        <f t="shared" si="4"/>
        <v>0</v>
      </c>
      <c r="G101" s="39">
        <v>0</v>
      </c>
      <c r="H101" s="39" t="s">
        <v>1620</v>
      </c>
      <c r="I101" s="39">
        <f t="shared" si="5"/>
        <v>0</v>
      </c>
    </row>
    <row r="102" spans="1:9" ht="12.75">
      <c r="A102" s="20" t="s">
        <v>590</v>
      </c>
      <c r="B102" s="20" t="s">
        <v>100</v>
      </c>
      <c r="C102" s="20" t="s">
        <v>1024</v>
      </c>
      <c r="F102" s="39">
        <f t="shared" si="4"/>
        <v>0</v>
      </c>
      <c r="G102" s="39">
        <v>0.29911</v>
      </c>
      <c r="H102" s="39" t="s">
        <v>1620</v>
      </c>
      <c r="I102" s="39">
        <f t="shared" si="5"/>
        <v>0</v>
      </c>
    </row>
    <row r="103" spans="1:9" ht="12.75">
      <c r="A103" s="20" t="s">
        <v>590</v>
      </c>
      <c r="B103" s="20" t="s">
        <v>101</v>
      </c>
      <c r="C103" s="20" t="s">
        <v>1027</v>
      </c>
      <c r="F103" s="39">
        <f t="shared" si="4"/>
        <v>0</v>
      </c>
      <c r="G103" s="39">
        <v>0.00757</v>
      </c>
      <c r="H103" s="39" t="s">
        <v>1620</v>
      </c>
      <c r="I103" s="39">
        <f t="shared" si="5"/>
        <v>0</v>
      </c>
    </row>
    <row r="104" spans="1:9" ht="12.75">
      <c r="A104" s="20" t="s">
        <v>590</v>
      </c>
      <c r="B104" s="20" t="s">
        <v>102</v>
      </c>
      <c r="C104" s="20" t="s">
        <v>1254</v>
      </c>
      <c r="F104" s="39">
        <f t="shared" si="4"/>
        <v>0</v>
      </c>
      <c r="G104" s="39">
        <v>6.56183</v>
      </c>
      <c r="H104" s="39" t="s">
        <v>1620</v>
      </c>
      <c r="I104" s="39">
        <f t="shared" si="5"/>
        <v>0</v>
      </c>
    </row>
    <row r="105" spans="1:9" ht="12.75">
      <c r="A105" s="20" t="s">
        <v>590</v>
      </c>
      <c r="B105" s="20" t="s">
        <v>103</v>
      </c>
      <c r="C105" s="20" t="s">
        <v>1269</v>
      </c>
      <c r="F105" s="39">
        <f t="shared" si="4"/>
        <v>0</v>
      </c>
      <c r="G105" s="39">
        <v>0.38546</v>
      </c>
      <c r="H105" s="39" t="s">
        <v>1620</v>
      </c>
      <c r="I105" s="39">
        <f t="shared" si="5"/>
        <v>0</v>
      </c>
    </row>
    <row r="106" spans="1:9" ht="12.75">
      <c r="A106" s="20" t="s">
        <v>590</v>
      </c>
      <c r="B106" s="20" t="s">
        <v>647</v>
      </c>
      <c r="C106" s="20" t="s">
        <v>1029</v>
      </c>
      <c r="F106" s="39">
        <f t="shared" si="4"/>
        <v>0</v>
      </c>
      <c r="G106" s="39">
        <v>0</v>
      </c>
      <c r="H106" s="39" t="s">
        <v>1620</v>
      </c>
      <c r="I106" s="39">
        <f t="shared" si="5"/>
        <v>0</v>
      </c>
    </row>
    <row r="107" spans="1:9" ht="12.75">
      <c r="A107" s="20" t="s">
        <v>590</v>
      </c>
      <c r="B107" s="20" t="s">
        <v>811</v>
      </c>
      <c r="C107" s="20" t="s">
        <v>1091</v>
      </c>
      <c r="F107" s="39">
        <f aca="true" t="shared" si="6" ref="F107:F138">D107+E107</f>
        <v>0</v>
      </c>
      <c r="G107" s="39">
        <v>0</v>
      </c>
      <c r="H107" s="39" t="s">
        <v>1620</v>
      </c>
      <c r="I107" s="39">
        <f aca="true" t="shared" si="7" ref="I107:I138">IF(H107="T",0,F107)</f>
        <v>0</v>
      </c>
    </row>
    <row r="108" spans="1:9" ht="12.75">
      <c r="A108" s="20" t="s">
        <v>590</v>
      </c>
      <c r="B108" s="20" t="s">
        <v>813</v>
      </c>
      <c r="C108" s="20" t="s">
        <v>978</v>
      </c>
      <c r="F108" s="39">
        <f t="shared" si="6"/>
        <v>0</v>
      </c>
      <c r="G108" s="39">
        <v>0</v>
      </c>
      <c r="H108" s="39" t="s">
        <v>1620</v>
      </c>
      <c r="I108" s="39">
        <f t="shared" si="7"/>
        <v>0</v>
      </c>
    </row>
    <row r="109" spans="1:9" ht="12.75">
      <c r="A109" s="20" t="s">
        <v>590</v>
      </c>
      <c r="B109" s="20" t="s">
        <v>815</v>
      </c>
      <c r="C109" s="20" t="s">
        <v>1276</v>
      </c>
      <c r="F109" s="39">
        <f t="shared" si="6"/>
        <v>0</v>
      </c>
      <c r="G109" s="39">
        <v>0</v>
      </c>
      <c r="H109" s="39" t="s">
        <v>1620</v>
      </c>
      <c r="I109" s="39">
        <f t="shared" si="7"/>
        <v>0</v>
      </c>
    </row>
    <row r="110" spans="1:9" ht="12.75">
      <c r="A110" s="20" t="s">
        <v>590</v>
      </c>
      <c r="B110" s="20" t="s">
        <v>817</v>
      </c>
      <c r="C110" s="20" t="s">
        <v>1103</v>
      </c>
      <c r="F110" s="39">
        <f t="shared" si="6"/>
        <v>0</v>
      </c>
      <c r="G110" s="39">
        <v>0</v>
      </c>
      <c r="H110" s="39" t="s">
        <v>1620</v>
      </c>
      <c r="I110" s="39">
        <f t="shared" si="7"/>
        <v>0</v>
      </c>
    </row>
    <row r="111" spans="1:9" ht="12.75">
      <c r="A111" s="20" t="s">
        <v>590</v>
      </c>
      <c r="B111" s="20" t="s">
        <v>819</v>
      </c>
      <c r="C111" s="20" t="s">
        <v>1116</v>
      </c>
      <c r="F111" s="39">
        <f t="shared" si="6"/>
        <v>0</v>
      </c>
      <c r="G111" s="39">
        <v>0</v>
      </c>
      <c r="H111" s="39" t="s">
        <v>1620</v>
      </c>
      <c r="I111" s="39">
        <f t="shared" si="7"/>
        <v>0</v>
      </c>
    </row>
    <row r="112" spans="1:9" ht="12.75">
      <c r="A112" s="20" t="s">
        <v>590</v>
      </c>
      <c r="B112" s="20" t="s">
        <v>821</v>
      </c>
      <c r="C112" s="20" t="s">
        <v>1138</v>
      </c>
      <c r="F112" s="39">
        <f t="shared" si="6"/>
        <v>0</v>
      </c>
      <c r="G112" s="39">
        <v>0</v>
      </c>
      <c r="H112" s="39" t="s">
        <v>1620</v>
      </c>
      <c r="I112" s="39">
        <f t="shared" si="7"/>
        <v>0</v>
      </c>
    </row>
    <row r="113" spans="1:9" ht="12.75">
      <c r="A113" s="20" t="s">
        <v>590</v>
      </c>
      <c r="B113" s="20" t="s">
        <v>649</v>
      </c>
      <c r="C113" s="20" t="s">
        <v>982</v>
      </c>
      <c r="F113" s="39">
        <f t="shared" si="6"/>
        <v>0</v>
      </c>
      <c r="G113" s="39">
        <v>0</v>
      </c>
      <c r="H113" s="39" t="s">
        <v>1620</v>
      </c>
      <c r="I113" s="39">
        <f t="shared" si="7"/>
        <v>0</v>
      </c>
    </row>
    <row r="114" spans="1:9" ht="12.75">
      <c r="A114" s="20" t="s">
        <v>590</v>
      </c>
      <c r="B114" s="20" t="s">
        <v>824</v>
      </c>
      <c r="C114" s="20" t="s">
        <v>1182</v>
      </c>
      <c r="F114" s="39">
        <f t="shared" si="6"/>
        <v>0</v>
      </c>
      <c r="G114" s="39">
        <v>0</v>
      </c>
      <c r="H114" s="39" t="s">
        <v>1620</v>
      </c>
      <c r="I114" s="39">
        <f t="shared" si="7"/>
        <v>0</v>
      </c>
    </row>
    <row r="115" spans="1:9" ht="12.75">
      <c r="A115" s="20" t="s">
        <v>590</v>
      </c>
      <c r="B115" s="20" t="s">
        <v>826</v>
      </c>
      <c r="C115" s="20" t="s">
        <v>1185</v>
      </c>
      <c r="F115" s="39">
        <f t="shared" si="6"/>
        <v>0</v>
      </c>
      <c r="G115" s="39">
        <v>0</v>
      </c>
      <c r="H115" s="39" t="s">
        <v>1620</v>
      </c>
      <c r="I115" s="39">
        <f t="shared" si="7"/>
        <v>0</v>
      </c>
    </row>
    <row r="116" spans="1:9" ht="12.75">
      <c r="A116" s="20" t="s">
        <v>590</v>
      </c>
      <c r="B116" s="20" t="s">
        <v>828</v>
      </c>
      <c r="C116" s="20" t="s">
        <v>1190</v>
      </c>
      <c r="F116" s="39">
        <f t="shared" si="6"/>
        <v>0</v>
      </c>
      <c r="G116" s="39">
        <v>0</v>
      </c>
      <c r="H116" s="39" t="s">
        <v>1620</v>
      </c>
      <c r="I116" s="39">
        <f t="shared" si="7"/>
        <v>0</v>
      </c>
    </row>
    <row r="117" spans="1:9" ht="12.75">
      <c r="A117" s="20" t="s">
        <v>590</v>
      </c>
      <c r="B117" s="20" t="s">
        <v>651</v>
      </c>
      <c r="C117" s="20" t="s">
        <v>995</v>
      </c>
      <c r="F117" s="39">
        <f t="shared" si="6"/>
        <v>0</v>
      </c>
      <c r="G117" s="39">
        <v>0</v>
      </c>
      <c r="H117" s="39" t="s">
        <v>1620</v>
      </c>
      <c r="I117" s="39">
        <f t="shared" si="7"/>
        <v>0</v>
      </c>
    </row>
    <row r="118" spans="1:9" ht="12.75">
      <c r="A118" s="20" t="s">
        <v>590</v>
      </c>
      <c r="B118" s="20" t="s">
        <v>831</v>
      </c>
      <c r="C118" s="20" t="s">
        <v>1211</v>
      </c>
      <c r="F118" s="39">
        <f t="shared" si="6"/>
        <v>0</v>
      </c>
      <c r="G118" s="39">
        <v>0</v>
      </c>
      <c r="H118" s="39" t="s">
        <v>1620</v>
      </c>
      <c r="I118" s="39">
        <f t="shared" si="7"/>
        <v>0</v>
      </c>
    </row>
    <row r="119" spans="1:9" ht="12.75">
      <c r="A119" s="20" t="s">
        <v>590</v>
      </c>
      <c r="B119" s="20" t="s">
        <v>653</v>
      </c>
      <c r="C119" s="20" t="s">
        <v>1003</v>
      </c>
      <c r="F119" s="39">
        <f t="shared" si="6"/>
        <v>0</v>
      </c>
      <c r="G119" s="39">
        <v>0</v>
      </c>
      <c r="H119" s="39" t="s">
        <v>1620</v>
      </c>
      <c r="I119" s="39">
        <f t="shared" si="7"/>
        <v>0</v>
      </c>
    </row>
    <row r="120" spans="1:9" ht="12.75">
      <c r="A120" s="20" t="s">
        <v>590</v>
      </c>
      <c r="B120" s="20" t="s">
        <v>834</v>
      </c>
      <c r="C120" s="20" t="s">
        <v>1227</v>
      </c>
      <c r="F120" s="39">
        <f t="shared" si="6"/>
        <v>0</v>
      </c>
      <c r="G120" s="39">
        <v>0</v>
      </c>
      <c r="H120" s="39" t="s">
        <v>1620</v>
      </c>
      <c r="I120" s="39">
        <f t="shared" si="7"/>
        <v>0</v>
      </c>
    </row>
    <row r="121" spans="1:9" ht="12.75">
      <c r="A121" s="20" t="s">
        <v>590</v>
      </c>
      <c r="B121" s="20" t="s">
        <v>655</v>
      </c>
      <c r="C121" s="20" t="s">
        <v>1007</v>
      </c>
      <c r="F121" s="39">
        <f t="shared" si="6"/>
        <v>0</v>
      </c>
      <c r="G121" s="39">
        <v>0</v>
      </c>
      <c r="H121" s="39" t="s">
        <v>1620</v>
      </c>
      <c r="I121" s="39">
        <f t="shared" si="7"/>
        <v>0</v>
      </c>
    </row>
    <row r="122" spans="1:9" ht="12.75">
      <c r="A122" s="20" t="s">
        <v>590</v>
      </c>
      <c r="B122" s="20" t="s">
        <v>837</v>
      </c>
      <c r="C122" s="20" t="s">
        <v>1236</v>
      </c>
      <c r="F122" s="39">
        <f t="shared" si="6"/>
        <v>0</v>
      </c>
      <c r="G122" s="39">
        <v>0</v>
      </c>
      <c r="H122" s="39" t="s">
        <v>1620</v>
      </c>
      <c r="I122" s="39">
        <f t="shared" si="7"/>
        <v>0</v>
      </c>
    </row>
    <row r="123" spans="1:9" ht="12.75">
      <c r="A123" s="20" t="s">
        <v>590</v>
      </c>
      <c r="B123" s="20" t="s">
        <v>659</v>
      </c>
      <c r="C123" s="20" t="s">
        <v>1036</v>
      </c>
      <c r="F123" s="39">
        <f t="shared" si="6"/>
        <v>0</v>
      </c>
      <c r="G123" s="39">
        <v>0.28155</v>
      </c>
      <c r="H123" s="39" t="s">
        <v>1620</v>
      </c>
      <c r="I123" s="39">
        <f t="shared" si="7"/>
        <v>0</v>
      </c>
    </row>
    <row r="124" spans="1:9" ht="12.75">
      <c r="A124" s="20" t="s">
        <v>590</v>
      </c>
      <c r="B124" s="20"/>
      <c r="C124" s="20" t="s">
        <v>1325</v>
      </c>
      <c r="F124" s="39">
        <f t="shared" si="6"/>
        <v>0</v>
      </c>
      <c r="G124" s="39">
        <v>0.048</v>
      </c>
      <c r="H124" s="39" t="s">
        <v>1620</v>
      </c>
      <c r="I124" s="39">
        <f t="shared" si="7"/>
        <v>0</v>
      </c>
    </row>
    <row r="125" spans="1:9" ht="12.75">
      <c r="A125" s="20" t="s">
        <v>591</v>
      </c>
      <c r="B125" s="20"/>
      <c r="C125" s="20" t="s">
        <v>1326</v>
      </c>
      <c r="F125" s="39">
        <f t="shared" si="6"/>
        <v>0</v>
      </c>
      <c r="G125" s="39">
        <v>17.72102</v>
      </c>
      <c r="H125" s="39" t="s">
        <v>1619</v>
      </c>
      <c r="I125" s="39">
        <f t="shared" si="7"/>
        <v>0</v>
      </c>
    </row>
    <row r="126" spans="1:9" ht="12.75">
      <c r="A126" s="20" t="s">
        <v>591</v>
      </c>
      <c r="B126" s="20" t="s">
        <v>67</v>
      </c>
      <c r="C126" s="20" t="s">
        <v>958</v>
      </c>
      <c r="F126" s="39">
        <f t="shared" si="6"/>
        <v>0</v>
      </c>
      <c r="G126" s="39">
        <v>1.36523</v>
      </c>
      <c r="H126" s="39" t="s">
        <v>1620</v>
      </c>
      <c r="I126" s="39">
        <f t="shared" si="7"/>
        <v>0</v>
      </c>
    </row>
    <row r="127" spans="1:9" ht="12.75">
      <c r="A127" s="20" t="s">
        <v>591</v>
      </c>
      <c r="B127" s="20" t="s">
        <v>694</v>
      </c>
      <c r="C127" s="20" t="s">
        <v>1103</v>
      </c>
      <c r="F127" s="39">
        <f t="shared" si="6"/>
        <v>0</v>
      </c>
      <c r="G127" s="39">
        <v>0.0777</v>
      </c>
      <c r="H127" s="39" t="s">
        <v>1620</v>
      </c>
      <c r="I127" s="39">
        <f t="shared" si="7"/>
        <v>0</v>
      </c>
    </row>
    <row r="128" spans="1:9" ht="12.75">
      <c r="A128" s="20" t="s">
        <v>591</v>
      </c>
      <c r="B128" s="20" t="s">
        <v>705</v>
      </c>
      <c r="C128" s="20" t="s">
        <v>1116</v>
      </c>
      <c r="F128" s="39">
        <f t="shared" si="6"/>
        <v>0</v>
      </c>
      <c r="G128" s="39">
        <v>0.04625</v>
      </c>
      <c r="H128" s="39" t="s">
        <v>1620</v>
      </c>
      <c r="I128" s="39">
        <f t="shared" si="7"/>
        <v>0</v>
      </c>
    </row>
    <row r="129" spans="1:9" ht="12.75">
      <c r="A129" s="20" t="s">
        <v>591</v>
      </c>
      <c r="B129" s="20" t="s">
        <v>783</v>
      </c>
      <c r="C129" s="20" t="s">
        <v>1211</v>
      </c>
      <c r="F129" s="39">
        <f t="shared" si="6"/>
        <v>0</v>
      </c>
      <c r="G129" s="39">
        <v>0.01808</v>
      </c>
      <c r="H129" s="39" t="s">
        <v>1620</v>
      </c>
      <c r="I129" s="39">
        <f t="shared" si="7"/>
        <v>0</v>
      </c>
    </row>
    <row r="130" spans="1:9" ht="12.75">
      <c r="A130" s="20" t="s">
        <v>591</v>
      </c>
      <c r="B130" s="20" t="s">
        <v>863</v>
      </c>
      <c r="C130" s="20" t="s">
        <v>1335</v>
      </c>
      <c r="F130" s="39">
        <f t="shared" si="6"/>
        <v>0</v>
      </c>
      <c r="G130" s="39">
        <v>0</v>
      </c>
      <c r="H130" s="39" t="s">
        <v>1620</v>
      </c>
      <c r="I130" s="39">
        <f t="shared" si="7"/>
        <v>0</v>
      </c>
    </row>
    <row r="131" spans="1:9" ht="12.75">
      <c r="A131" s="20" t="s">
        <v>591</v>
      </c>
      <c r="B131" s="20" t="s">
        <v>638</v>
      </c>
      <c r="C131" s="20" t="s">
        <v>1012</v>
      </c>
      <c r="F131" s="39">
        <f t="shared" si="6"/>
        <v>0</v>
      </c>
      <c r="G131" s="39">
        <v>0.00136</v>
      </c>
      <c r="H131" s="39" t="s">
        <v>1620</v>
      </c>
      <c r="I131" s="39">
        <f t="shared" si="7"/>
        <v>0</v>
      </c>
    </row>
    <row r="132" spans="1:9" ht="12.75">
      <c r="A132" s="20" t="s">
        <v>591</v>
      </c>
      <c r="B132" s="20" t="s">
        <v>641</v>
      </c>
      <c r="C132" s="20" t="s">
        <v>1016</v>
      </c>
      <c r="F132" s="39">
        <f t="shared" si="6"/>
        <v>0</v>
      </c>
      <c r="G132" s="39">
        <v>0.06268</v>
      </c>
      <c r="H132" s="39" t="s">
        <v>1620</v>
      </c>
      <c r="I132" s="39">
        <f t="shared" si="7"/>
        <v>0</v>
      </c>
    </row>
    <row r="133" spans="1:9" ht="12.75">
      <c r="A133" s="20" t="s">
        <v>591</v>
      </c>
      <c r="B133" s="20" t="s">
        <v>102</v>
      </c>
      <c r="C133" s="20" t="s">
        <v>1254</v>
      </c>
      <c r="F133" s="39">
        <f t="shared" si="6"/>
        <v>0</v>
      </c>
      <c r="G133" s="39">
        <v>16.14186</v>
      </c>
      <c r="H133" s="39" t="s">
        <v>1620</v>
      </c>
      <c r="I133" s="39">
        <f t="shared" si="7"/>
        <v>0</v>
      </c>
    </row>
    <row r="134" spans="1:9" ht="12.75">
      <c r="A134" s="20" t="s">
        <v>591</v>
      </c>
      <c r="B134" s="20" t="s">
        <v>647</v>
      </c>
      <c r="C134" s="20" t="s">
        <v>1029</v>
      </c>
      <c r="F134" s="39">
        <f t="shared" si="6"/>
        <v>0</v>
      </c>
      <c r="G134" s="39">
        <v>0</v>
      </c>
      <c r="H134" s="39" t="s">
        <v>1620</v>
      </c>
      <c r="I134" s="39">
        <f t="shared" si="7"/>
        <v>0</v>
      </c>
    </row>
    <row r="135" spans="1:9" ht="12.75">
      <c r="A135" s="20" t="s">
        <v>591</v>
      </c>
      <c r="B135" s="20" t="s">
        <v>817</v>
      </c>
      <c r="C135" s="20" t="s">
        <v>1103</v>
      </c>
      <c r="F135" s="39">
        <f t="shared" si="6"/>
        <v>0</v>
      </c>
      <c r="G135" s="39">
        <v>0</v>
      </c>
      <c r="H135" s="39" t="s">
        <v>1620</v>
      </c>
      <c r="I135" s="39">
        <f t="shared" si="7"/>
        <v>0</v>
      </c>
    </row>
    <row r="136" spans="1:9" ht="12.75">
      <c r="A136" s="20" t="s">
        <v>591</v>
      </c>
      <c r="B136" s="20" t="s">
        <v>819</v>
      </c>
      <c r="C136" s="20" t="s">
        <v>1116</v>
      </c>
      <c r="F136" s="39">
        <f t="shared" si="6"/>
        <v>0</v>
      </c>
      <c r="G136" s="39">
        <v>0</v>
      </c>
      <c r="H136" s="39" t="s">
        <v>1620</v>
      </c>
      <c r="I136" s="39">
        <f t="shared" si="7"/>
        <v>0</v>
      </c>
    </row>
    <row r="137" spans="1:9" ht="12.75">
      <c r="A137" s="20" t="s">
        <v>591</v>
      </c>
      <c r="B137" s="20" t="s">
        <v>831</v>
      </c>
      <c r="C137" s="20" t="s">
        <v>1211</v>
      </c>
      <c r="F137" s="39">
        <f t="shared" si="6"/>
        <v>0</v>
      </c>
      <c r="G137" s="39">
        <v>0</v>
      </c>
      <c r="H137" s="39" t="s">
        <v>1620</v>
      </c>
      <c r="I137" s="39">
        <f t="shared" si="7"/>
        <v>0</v>
      </c>
    </row>
    <row r="138" spans="1:9" ht="12.75">
      <c r="A138" s="20" t="s">
        <v>591</v>
      </c>
      <c r="B138" s="20" t="s">
        <v>659</v>
      </c>
      <c r="C138" s="20" t="s">
        <v>1036</v>
      </c>
      <c r="F138" s="39">
        <f t="shared" si="6"/>
        <v>0</v>
      </c>
      <c r="G138" s="39">
        <v>0.00786</v>
      </c>
      <c r="H138" s="39" t="s">
        <v>1620</v>
      </c>
      <c r="I138" s="39">
        <f t="shared" si="7"/>
        <v>0</v>
      </c>
    </row>
    <row r="139" spans="1:9" ht="12.75">
      <c r="A139" s="20" t="s">
        <v>592</v>
      </c>
      <c r="B139" s="20"/>
      <c r="C139" s="20" t="s">
        <v>1349</v>
      </c>
      <c r="F139" s="39">
        <f aca="true" t="shared" si="8" ref="F139:F170">D139+E139</f>
        <v>0</v>
      </c>
      <c r="G139" s="39">
        <v>52.81665</v>
      </c>
      <c r="H139" s="39" t="s">
        <v>1619</v>
      </c>
      <c r="I139" s="39">
        <f aca="true" t="shared" si="9" ref="I139:I170">IF(H139="T",0,F139)</f>
        <v>0</v>
      </c>
    </row>
    <row r="140" spans="1:9" ht="12.75">
      <c r="A140" s="20" t="s">
        <v>592</v>
      </c>
      <c r="B140" s="20" t="s">
        <v>37</v>
      </c>
      <c r="C140" s="20" t="s">
        <v>1350</v>
      </c>
      <c r="F140" s="39">
        <f t="shared" si="8"/>
        <v>0</v>
      </c>
      <c r="G140" s="39">
        <v>0.15101</v>
      </c>
      <c r="H140" s="39" t="s">
        <v>1620</v>
      </c>
      <c r="I140" s="39">
        <f t="shared" si="9"/>
        <v>0</v>
      </c>
    </row>
    <row r="141" spans="1:9" ht="12.75">
      <c r="A141" s="20" t="s">
        <v>592</v>
      </c>
      <c r="B141" s="20" t="s">
        <v>68</v>
      </c>
      <c r="C141" s="20" t="s">
        <v>1354</v>
      </c>
      <c r="F141" s="39">
        <f t="shared" si="8"/>
        <v>0</v>
      </c>
      <c r="G141" s="39">
        <v>18.77088</v>
      </c>
      <c r="H141" s="39" t="s">
        <v>1620</v>
      </c>
      <c r="I141" s="39">
        <f t="shared" si="9"/>
        <v>0</v>
      </c>
    </row>
    <row r="142" spans="1:9" ht="12.75">
      <c r="A142" s="20" t="s">
        <v>592</v>
      </c>
      <c r="B142" s="20" t="s">
        <v>70</v>
      </c>
      <c r="C142" s="20" t="s">
        <v>971</v>
      </c>
      <c r="F142" s="39">
        <f t="shared" si="8"/>
        <v>0</v>
      </c>
      <c r="G142" s="39">
        <v>4.35168</v>
      </c>
      <c r="H142" s="39" t="s">
        <v>1620</v>
      </c>
      <c r="I142" s="39">
        <f t="shared" si="9"/>
        <v>0</v>
      </c>
    </row>
    <row r="143" spans="1:9" ht="12.75">
      <c r="A143" s="20" t="s">
        <v>592</v>
      </c>
      <c r="B143" s="20" t="s">
        <v>606</v>
      </c>
      <c r="C143" s="20" t="s">
        <v>978</v>
      </c>
      <c r="F143" s="39">
        <f t="shared" si="8"/>
        <v>0</v>
      </c>
      <c r="G143" s="39">
        <v>2.52</v>
      </c>
      <c r="H143" s="39" t="s">
        <v>1620</v>
      </c>
      <c r="I143" s="39">
        <f t="shared" si="9"/>
        <v>0</v>
      </c>
    </row>
    <row r="144" spans="1:9" ht="12.75">
      <c r="A144" s="20" t="s">
        <v>592</v>
      </c>
      <c r="B144" s="20" t="s">
        <v>897</v>
      </c>
      <c r="C144" s="20" t="s">
        <v>1402</v>
      </c>
      <c r="F144" s="39">
        <f t="shared" si="8"/>
        <v>0</v>
      </c>
      <c r="G144" s="39">
        <v>1.35662</v>
      </c>
      <c r="H144" s="39" t="s">
        <v>1620</v>
      </c>
      <c r="I144" s="39">
        <f t="shared" si="9"/>
        <v>0</v>
      </c>
    </row>
    <row r="145" spans="1:9" ht="12.75">
      <c r="A145" s="20" t="s">
        <v>592</v>
      </c>
      <c r="B145" s="20" t="s">
        <v>900</v>
      </c>
      <c r="C145" s="20" t="s">
        <v>1407</v>
      </c>
      <c r="F145" s="39">
        <f t="shared" si="8"/>
        <v>0</v>
      </c>
      <c r="G145" s="39">
        <v>4.1815</v>
      </c>
      <c r="H145" s="39" t="s">
        <v>1620</v>
      </c>
      <c r="I145" s="39">
        <f t="shared" si="9"/>
        <v>0</v>
      </c>
    </row>
    <row r="146" spans="1:9" ht="12.75">
      <c r="A146" s="20" t="s">
        <v>592</v>
      </c>
      <c r="B146" s="20" t="s">
        <v>783</v>
      </c>
      <c r="C146" s="20" t="s">
        <v>1211</v>
      </c>
      <c r="F146" s="39">
        <f t="shared" si="8"/>
        <v>0</v>
      </c>
      <c r="G146" s="39">
        <v>0.01677</v>
      </c>
      <c r="H146" s="39" t="s">
        <v>1620</v>
      </c>
      <c r="I146" s="39">
        <f t="shared" si="9"/>
        <v>0</v>
      </c>
    </row>
    <row r="147" spans="1:9" ht="12.75">
      <c r="A147" s="20" t="s">
        <v>592</v>
      </c>
      <c r="B147" s="20" t="s">
        <v>638</v>
      </c>
      <c r="C147" s="20" t="s">
        <v>1012</v>
      </c>
      <c r="F147" s="39">
        <f t="shared" si="8"/>
        <v>0</v>
      </c>
      <c r="G147" s="39">
        <v>0.11072</v>
      </c>
      <c r="H147" s="39" t="s">
        <v>1620</v>
      </c>
      <c r="I147" s="39">
        <f t="shared" si="9"/>
        <v>0</v>
      </c>
    </row>
    <row r="148" spans="1:9" ht="12.75">
      <c r="A148" s="20" t="s">
        <v>592</v>
      </c>
      <c r="B148" s="20" t="s">
        <v>100</v>
      </c>
      <c r="C148" s="20" t="s">
        <v>1024</v>
      </c>
      <c r="F148" s="39">
        <f t="shared" si="8"/>
        <v>0</v>
      </c>
      <c r="G148" s="39">
        <v>13.3419</v>
      </c>
      <c r="H148" s="39" t="s">
        <v>1620</v>
      </c>
      <c r="I148" s="39">
        <f t="shared" si="9"/>
        <v>0</v>
      </c>
    </row>
    <row r="149" spans="1:9" ht="12.75">
      <c r="A149" s="20" t="s">
        <v>592</v>
      </c>
      <c r="B149" s="20" t="s">
        <v>102</v>
      </c>
      <c r="C149" s="20" t="s">
        <v>1254</v>
      </c>
      <c r="F149" s="39">
        <f t="shared" si="8"/>
        <v>0</v>
      </c>
      <c r="G149" s="39">
        <v>7.71614</v>
      </c>
      <c r="H149" s="39" t="s">
        <v>1620</v>
      </c>
      <c r="I149" s="39">
        <f t="shared" si="9"/>
        <v>0</v>
      </c>
    </row>
    <row r="150" spans="1:9" ht="12.75">
      <c r="A150" s="20" t="s">
        <v>592</v>
      </c>
      <c r="B150" s="20" t="s">
        <v>647</v>
      </c>
      <c r="C150" s="20" t="s">
        <v>1029</v>
      </c>
      <c r="F150" s="39">
        <f t="shared" si="8"/>
        <v>0</v>
      </c>
      <c r="G150" s="39">
        <v>0</v>
      </c>
      <c r="H150" s="39" t="s">
        <v>1620</v>
      </c>
      <c r="I150" s="39">
        <f t="shared" si="9"/>
        <v>0</v>
      </c>
    </row>
    <row r="151" spans="1:9" ht="12.75">
      <c r="A151" s="20" t="s">
        <v>592</v>
      </c>
      <c r="B151" s="20" t="s">
        <v>813</v>
      </c>
      <c r="C151" s="20" t="s">
        <v>978</v>
      </c>
      <c r="F151" s="39">
        <f t="shared" si="8"/>
        <v>0</v>
      </c>
      <c r="G151" s="39">
        <v>0</v>
      </c>
      <c r="H151" s="39" t="s">
        <v>1620</v>
      </c>
      <c r="I151" s="39">
        <f t="shared" si="9"/>
        <v>0</v>
      </c>
    </row>
    <row r="152" spans="1:9" ht="12.75">
      <c r="A152" s="20" t="s">
        <v>592</v>
      </c>
      <c r="B152" s="20" t="s">
        <v>937</v>
      </c>
      <c r="C152" s="20" t="s">
        <v>1402</v>
      </c>
      <c r="F152" s="39">
        <f t="shared" si="8"/>
        <v>0</v>
      </c>
      <c r="G152" s="39">
        <v>0</v>
      </c>
      <c r="H152" s="39" t="s">
        <v>1620</v>
      </c>
      <c r="I152" s="39">
        <f t="shared" si="9"/>
        <v>0</v>
      </c>
    </row>
    <row r="153" spans="1:9" ht="12.75">
      <c r="A153" s="20" t="s">
        <v>592</v>
      </c>
      <c r="B153" s="20" t="s">
        <v>939</v>
      </c>
      <c r="C153" s="20" t="s">
        <v>1407</v>
      </c>
      <c r="F153" s="39">
        <f t="shared" si="8"/>
        <v>0</v>
      </c>
      <c r="G153" s="39">
        <v>0</v>
      </c>
      <c r="H153" s="39" t="s">
        <v>1620</v>
      </c>
      <c r="I153" s="39">
        <f t="shared" si="9"/>
        <v>0</v>
      </c>
    </row>
    <row r="154" spans="1:9" ht="12.75">
      <c r="A154" s="20" t="s">
        <v>592</v>
      </c>
      <c r="B154" s="20" t="s">
        <v>831</v>
      </c>
      <c r="C154" s="20" t="s">
        <v>1211</v>
      </c>
      <c r="F154" s="39">
        <f t="shared" si="8"/>
        <v>0</v>
      </c>
      <c r="G154" s="39">
        <v>0</v>
      </c>
      <c r="H154" s="39" t="s">
        <v>1620</v>
      </c>
      <c r="I154" s="39">
        <f t="shared" si="9"/>
        <v>0</v>
      </c>
    </row>
    <row r="155" spans="1:9" ht="12.75">
      <c r="A155" s="20" t="s">
        <v>592</v>
      </c>
      <c r="B155" s="20" t="s">
        <v>659</v>
      </c>
      <c r="C155" s="20" t="s">
        <v>1036</v>
      </c>
      <c r="F155" s="39">
        <f t="shared" si="8"/>
        <v>0</v>
      </c>
      <c r="G155" s="39">
        <v>0.29943</v>
      </c>
      <c r="H155" s="39" t="s">
        <v>1620</v>
      </c>
      <c r="I155" s="39">
        <f t="shared" si="9"/>
        <v>0</v>
      </c>
    </row>
    <row r="156" spans="1:9" ht="12.75">
      <c r="A156" s="20" t="s">
        <v>593</v>
      </c>
      <c r="B156" s="20"/>
      <c r="C156" s="20" t="s">
        <v>1470</v>
      </c>
      <c r="F156" s="39">
        <f t="shared" si="8"/>
        <v>0</v>
      </c>
      <c r="G156" s="39">
        <v>0</v>
      </c>
      <c r="H156" s="39" t="s">
        <v>1619</v>
      </c>
      <c r="I156" s="39">
        <f t="shared" si="9"/>
        <v>0</v>
      </c>
    </row>
    <row r="157" spans="1:9" ht="12.75">
      <c r="A157" s="20" t="s">
        <v>593</v>
      </c>
      <c r="B157" s="20" t="s">
        <v>942</v>
      </c>
      <c r="C157" s="20" t="s">
        <v>1471</v>
      </c>
      <c r="F157" s="39">
        <f t="shared" si="8"/>
        <v>0</v>
      </c>
      <c r="G157" s="39">
        <v>0</v>
      </c>
      <c r="H157" s="39" t="s">
        <v>1620</v>
      </c>
      <c r="I157" s="39">
        <f t="shared" si="9"/>
        <v>0</v>
      </c>
    </row>
    <row r="159" spans="5:6" ht="12.75">
      <c r="E159" s="52" t="s">
        <v>1509</v>
      </c>
      <c r="F159" s="45">
        <f>SUM(I11:I157)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7109375" style="0" customWidth="1"/>
    <col min="3" max="3" width="22.8515625" style="0" customWidth="1"/>
    <col min="4" max="4" width="10.14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7109375" style="0" customWidth="1"/>
    <col min="9" max="9" width="22.8515625" style="0" customWidth="1"/>
  </cols>
  <sheetData>
    <row r="1" spans="1:9" ht="72.75" customHeight="1">
      <c r="A1" s="79"/>
      <c r="B1" s="8"/>
      <c r="C1" s="110" t="s">
        <v>1635</v>
      </c>
      <c r="D1" s="111"/>
      <c r="E1" s="111"/>
      <c r="F1" s="111"/>
      <c r="G1" s="111"/>
      <c r="H1" s="111"/>
      <c r="I1" s="111"/>
    </row>
    <row r="2" spans="1:10" ht="12.75">
      <c r="A2" s="82" t="s">
        <v>1</v>
      </c>
      <c r="B2" s="83"/>
      <c r="C2" s="86" t="s">
        <v>952</v>
      </c>
      <c r="D2" s="109"/>
      <c r="E2" s="89" t="s">
        <v>1510</v>
      </c>
      <c r="F2" s="89" t="s">
        <v>1515</v>
      </c>
      <c r="G2" s="83"/>
      <c r="H2" s="89" t="s">
        <v>1660</v>
      </c>
      <c r="I2" s="112" t="s">
        <v>1664</v>
      </c>
      <c r="J2" s="37"/>
    </row>
    <row r="3" spans="1:10" ht="12.75" customHeight="1">
      <c r="A3" s="84"/>
      <c r="B3" s="85"/>
      <c r="C3" s="87"/>
      <c r="D3" s="87"/>
      <c r="E3" s="85"/>
      <c r="F3" s="85"/>
      <c r="G3" s="85"/>
      <c r="H3" s="85"/>
      <c r="I3" s="91"/>
      <c r="J3" s="37"/>
    </row>
    <row r="4" spans="1:10" ht="12.75">
      <c r="A4" s="92" t="s">
        <v>2</v>
      </c>
      <c r="B4" s="85"/>
      <c r="C4" s="93" t="s">
        <v>953</v>
      </c>
      <c r="D4" s="85"/>
      <c r="E4" s="93" t="s">
        <v>1511</v>
      </c>
      <c r="F4" s="93" t="s">
        <v>1516</v>
      </c>
      <c r="G4" s="85"/>
      <c r="H4" s="93" t="s">
        <v>1660</v>
      </c>
      <c r="I4" s="113" t="s">
        <v>1665</v>
      </c>
      <c r="J4" s="37"/>
    </row>
    <row r="5" spans="1:10" ht="12.75" customHeight="1">
      <c r="A5" s="84"/>
      <c r="B5" s="85"/>
      <c r="C5" s="85"/>
      <c r="D5" s="85"/>
      <c r="E5" s="85"/>
      <c r="F5" s="85"/>
      <c r="G5" s="85"/>
      <c r="H5" s="85"/>
      <c r="I5" s="91"/>
      <c r="J5" s="37"/>
    </row>
    <row r="6" spans="1:10" ht="12.75">
      <c r="A6" s="92" t="s">
        <v>3</v>
      </c>
      <c r="B6" s="85"/>
      <c r="C6" s="93" t="s">
        <v>954</v>
      </c>
      <c r="D6" s="85"/>
      <c r="E6" s="93" t="s">
        <v>1512</v>
      </c>
      <c r="F6" s="93" t="s">
        <v>1517</v>
      </c>
      <c r="G6" s="85"/>
      <c r="H6" s="93" t="s">
        <v>1660</v>
      </c>
      <c r="I6" s="113"/>
      <c r="J6" s="37"/>
    </row>
    <row r="7" spans="1:10" ht="12.75" customHeight="1">
      <c r="A7" s="84"/>
      <c r="B7" s="85"/>
      <c r="C7" s="85"/>
      <c r="D7" s="85"/>
      <c r="E7" s="85"/>
      <c r="F7" s="85"/>
      <c r="G7" s="85"/>
      <c r="H7" s="85"/>
      <c r="I7" s="91"/>
      <c r="J7" s="37"/>
    </row>
    <row r="8" spans="1:10" ht="12.75">
      <c r="A8" s="92" t="s">
        <v>1489</v>
      </c>
      <c r="B8" s="85"/>
      <c r="C8" s="94" t="s">
        <v>6</v>
      </c>
      <c r="D8" s="85"/>
      <c r="E8" s="93" t="s">
        <v>1490</v>
      </c>
      <c r="F8" s="85"/>
      <c r="G8" s="85"/>
      <c r="H8" s="94" t="s">
        <v>1661</v>
      </c>
      <c r="I8" s="113" t="s">
        <v>585</v>
      </c>
      <c r="J8" s="37"/>
    </row>
    <row r="9" spans="1:10" ht="12.75">
      <c r="A9" s="84"/>
      <c r="B9" s="85"/>
      <c r="C9" s="85"/>
      <c r="D9" s="85"/>
      <c r="E9" s="85"/>
      <c r="F9" s="85"/>
      <c r="G9" s="85"/>
      <c r="H9" s="85"/>
      <c r="I9" s="91"/>
      <c r="J9" s="37"/>
    </row>
    <row r="10" spans="1:10" ht="12.75">
      <c r="A10" s="92" t="s">
        <v>4</v>
      </c>
      <c r="B10" s="85"/>
      <c r="C10" s="93"/>
      <c r="D10" s="85"/>
      <c r="E10" s="93" t="s">
        <v>1513</v>
      </c>
      <c r="F10" s="93" t="s">
        <v>1518</v>
      </c>
      <c r="G10" s="85"/>
      <c r="H10" s="94" t="s">
        <v>1662</v>
      </c>
      <c r="I10" s="116">
        <v>43085</v>
      </c>
      <c r="J10" s="37"/>
    </row>
    <row r="11" spans="1:10" ht="12.75">
      <c r="A11" s="114"/>
      <c r="B11" s="115"/>
      <c r="C11" s="115"/>
      <c r="D11" s="115"/>
      <c r="E11" s="115"/>
      <c r="F11" s="115"/>
      <c r="G11" s="115"/>
      <c r="H11" s="115"/>
      <c r="I11" s="117"/>
      <c r="J11" s="37"/>
    </row>
    <row r="12" spans="1:9" ht="18.75" customHeight="1">
      <c r="A12" s="118" t="s">
        <v>1621</v>
      </c>
      <c r="B12" s="119"/>
      <c r="C12" s="119"/>
      <c r="D12" s="119"/>
      <c r="E12" s="119"/>
      <c r="F12" s="119"/>
      <c r="G12" s="119"/>
      <c r="H12" s="119"/>
      <c r="I12" s="119"/>
    </row>
    <row r="13" spans="1:10" ht="26.25" customHeight="1">
      <c r="A13" s="55" t="s">
        <v>1622</v>
      </c>
      <c r="B13" s="120" t="s">
        <v>1633</v>
      </c>
      <c r="C13" s="121"/>
      <c r="D13" s="55" t="s">
        <v>1636</v>
      </c>
      <c r="E13" s="120" t="s">
        <v>1645</v>
      </c>
      <c r="F13" s="121"/>
      <c r="G13" s="55" t="s">
        <v>1646</v>
      </c>
      <c r="H13" s="120" t="s">
        <v>1663</v>
      </c>
      <c r="I13" s="121"/>
      <c r="J13" s="37"/>
    </row>
    <row r="14" spans="1:10" ht="12.75" customHeight="1">
      <c r="A14" s="56" t="s">
        <v>1623</v>
      </c>
      <c r="B14" s="60" t="s">
        <v>1634</v>
      </c>
      <c r="C14" s="63">
        <f>SUM('Stavební rozpočet'!R12:R1013)</f>
        <v>0</v>
      </c>
      <c r="D14" s="122" t="s">
        <v>1637</v>
      </c>
      <c r="E14" s="123"/>
      <c r="F14" s="63">
        <f>VORN!I15</f>
        <v>0</v>
      </c>
      <c r="G14" s="122" t="s">
        <v>1647</v>
      </c>
      <c r="H14" s="123"/>
      <c r="I14" s="63">
        <f>VORN!I21</f>
        <v>0</v>
      </c>
      <c r="J14" s="37"/>
    </row>
    <row r="15" spans="1:10" ht="12.75" customHeight="1">
      <c r="A15" s="57"/>
      <c r="B15" s="60" t="s">
        <v>1514</v>
      </c>
      <c r="C15" s="63">
        <f>SUM('Stavební rozpočet'!S12:S1013)</f>
        <v>0</v>
      </c>
      <c r="D15" s="122" t="s">
        <v>1638</v>
      </c>
      <c r="E15" s="123"/>
      <c r="F15" s="63">
        <f>VORN!I16</f>
        <v>0</v>
      </c>
      <c r="G15" s="122" t="s">
        <v>1648</v>
      </c>
      <c r="H15" s="123"/>
      <c r="I15" s="63">
        <f>VORN!I22</f>
        <v>0</v>
      </c>
      <c r="J15" s="37"/>
    </row>
    <row r="16" spans="1:10" ht="12.75" customHeight="1">
      <c r="A16" s="56" t="s">
        <v>1624</v>
      </c>
      <c r="B16" s="60" t="s">
        <v>1634</v>
      </c>
      <c r="C16" s="63">
        <f>SUM('Stavební rozpočet'!T12:T1013)</f>
        <v>0</v>
      </c>
      <c r="D16" s="122" t="s">
        <v>1639</v>
      </c>
      <c r="E16" s="123"/>
      <c r="F16" s="63">
        <f>VORN!I17</f>
        <v>0</v>
      </c>
      <c r="G16" s="122" t="s">
        <v>1649</v>
      </c>
      <c r="H16" s="123"/>
      <c r="I16" s="63">
        <f>VORN!I23</f>
        <v>0</v>
      </c>
      <c r="J16" s="37"/>
    </row>
    <row r="17" spans="1:10" ht="12.75" customHeight="1">
      <c r="A17" s="57"/>
      <c r="B17" s="60" t="s">
        <v>1514</v>
      </c>
      <c r="C17" s="63">
        <f>SUM('Stavební rozpočet'!U12:U1013)</f>
        <v>0</v>
      </c>
      <c r="D17" s="122"/>
      <c r="E17" s="123"/>
      <c r="F17" s="64"/>
      <c r="G17" s="122" t="s">
        <v>1650</v>
      </c>
      <c r="H17" s="123"/>
      <c r="I17" s="63">
        <f>VORN!I24</f>
        <v>0</v>
      </c>
      <c r="J17" s="37"/>
    </row>
    <row r="18" spans="1:10" ht="12.75" customHeight="1">
      <c r="A18" s="56" t="s">
        <v>1625</v>
      </c>
      <c r="B18" s="60" t="s">
        <v>1634</v>
      </c>
      <c r="C18" s="63">
        <f>SUM('Stavební rozpočet'!V12:V1013)</f>
        <v>0</v>
      </c>
      <c r="D18" s="122"/>
      <c r="E18" s="123"/>
      <c r="F18" s="64"/>
      <c r="G18" s="122" t="s">
        <v>1651</v>
      </c>
      <c r="H18" s="123"/>
      <c r="I18" s="63">
        <f>VORN!I25</f>
        <v>0</v>
      </c>
      <c r="J18" s="37"/>
    </row>
    <row r="19" spans="1:10" ht="12.75" customHeight="1">
      <c r="A19" s="57"/>
      <c r="B19" s="60" t="s">
        <v>1514</v>
      </c>
      <c r="C19" s="63">
        <f>SUM('Stavební rozpočet'!W12:W1013)</f>
        <v>0</v>
      </c>
      <c r="D19" s="122"/>
      <c r="E19" s="123"/>
      <c r="F19" s="64"/>
      <c r="G19" s="122" t="s">
        <v>1652</v>
      </c>
      <c r="H19" s="123"/>
      <c r="I19" s="63">
        <f>VORN!I26</f>
        <v>0</v>
      </c>
      <c r="J19" s="37"/>
    </row>
    <row r="20" spans="1:10" ht="12.75" customHeight="1">
      <c r="A20" s="124" t="s">
        <v>1325</v>
      </c>
      <c r="B20" s="125"/>
      <c r="C20" s="63">
        <f>SUM('Stavební rozpočet'!X12:X1013)</f>
        <v>0</v>
      </c>
      <c r="D20" s="122"/>
      <c r="E20" s="123"/>
      <c r="F20" s="64"/>
      <c r="G20" s="122"/>
      <c r="H20" s="123"/>
      <c r="I20" s="64"/>
      <c r="J20" s="37"/>
    </row>
    <row r="21" spans="1:10" ht="12.75" customHeight="1">
      <c r="A21" s="124" t="s">
        <v>1626</v>
      </c>
      <c r="B21" s="125"/>
      <c r="C21" s="63">
        <f>SUM('Stavební rozpočet'!P12:P1013)</f>
        <v>0</v>
      </c>
      <c r="D21" s="122"/>
      <c r="E21" s="123"/>
      <c r="F21" s="64"/>
      <c r="G21" s="122"/>
      <c r="H21" s="123"/>
      <c r="I21" s="64"/>
      <c r="J21" s="37"/>
    </row>
    <row r="22" spans="1:10" ht="16.5" customHeight="1">
      <c r="A22" s="124" t="s">
        <v>1627</v>
      </c>
      <c r="B22" s="125"/>
      <c r="C22" s="63">
        <f>SUM(C14:C21)</f>
        <v>0</v>
      </c>
      <c r="D22" s="124" t="s">
        <v>1640</v>
      </c>
      <c r="E22" s="125"/>
      <c r="F22" s="63">
        <f>SUM(F14:F21)</f>
        <v>0</v>
      </c>
      <c r="G22" s="124" t="s">
        <v>1653</v>
      </c>
      <c r="H22" s="125"/>
      <c r="I22" s="63">
        <f>SUM(I14:I21)</f>
        <v>0</v>
      </c>
      <c r="J22" s="37"/>
    </row>
    <row r="23" spans="1:10" ht="12.75" customHeight="1">
      <c r="A23" s="9"/>
      <c r="B23" s="9"/>
      <c r="C23" s="61"/>
      <c r="D23" s="124" t="s">
        <v>1641</v>
      </c>
      <c r="E23" s="125"/>
      <c r="F23" s="65">
        <v>0</v>
      </c>
      <c r="G23" s="124" t="s">
        <v>1654</v>
      </c>
      <c r="H23" s="125"/>
      <c r="I23" s="63">
        <v>0</v>
      </c>
      <c r="J23" s="37"/>
    </row>
    <row r="24" spans="4:10" ht="12.75" customHeight="1">
      <c r="D24" s="9"/>
      <c r="E24" s="9"/>
      <c r="F24" s="66"/>
      <c r="G24" s="124" t="s">
        <v>1655</v>
      </c>
      <c r="H24" s="125"/>
      <c r="I24" s="63">
        <f>vorn_sum</f>
        <v>0</v>
      </c>
      <c r="J24" s="37"/>
    </row>
    <row r="25" spans="6:10" ht="12.75" customHeight="1">
      <c r="F25" s="67"/>
      <c r="G25" s="124" t="s">
        <v>1656</v>
      </c>
      <c r="H25" s="125"/>
      <c r="I25" s="63">
        <v>0</v>
      </c>
      <c r="J25" s="37"/>
    </row>
    <row r="26" spans="1:9" ht="12.75">
      <c r="A26" s="8"/>
      <c r="B26" s="8"/>
      <c r="C26" s="8"/>
      <c r="G26" s="9"/>
      <c r="H26" s="9"/>
      <c r="I26" s="9"/>
    </row>
    <row r="27" spans="1:9" ht="12.75" customHeight="1">
      <c r="A27" s="126" t="s">
        <v>1628</v>
      </c>
      <c r="B27" s="127"/>
      <c r="C27" s="68">
        <f>SUM('Stavební rozpočet'!Z12:Z1013)</f>
        <v>0</v>
      </c>
      <c r="D27" s="62"/>
      <c r="E27" s="8"/>
      <c r="F27" s="8"/>
      <c r="G27" s="8"/>
      <c r="H27" s="8"/>
      <c r="I27" s="8"/>
    </row>
    <row r="28" spans="1:10" ht="12.75" customHeight="1">
      <c r="A28" s="126" t="s">
        <v>1629</v>
      </c>
      <c r="B28" s="127"/>
      <c r="C28" s="68">
        <f>SUM('Stavební rozpočet'!AA12:AA1013)+(F22+I22+F23+I23+I24+I25)</f>
        <v>0</v>
      </c>
      <c r="D28" s="126" t="s">
        <v>1642</v>
      </c>
      <c r="E28" s="127"/>
      <c r="F28" s="68">
        <f>ROUND(C28*(15/100),2)</f>
        <v>0</v>
      </c>
      <c r="G28" s="126" t="s">
        <v>1657</v>
      </c>
      <c r="H28" s="127"/>
      <c r="I28" s="68">
        <f>SUM(C27:C29)</f>
        <v>0</v>
      </c>
      <c r="J28" s="37"/>
    </row>
    <row r="29" spans="1:10" ht="12.75" customHeight="1">
      <c r="A29" s="126" t="s">
        <v>1630</v>
      </c>
      <c r="B29" s="127"/>
      <c r="C29" s="68">
        <f>SUM('Stavební rozpočet'!AB12:AB1013)</f>
        <v>0</v>
      </c>
      <c r="D29" s="126" t="s">
        <v>1643</v>
      </c>
      <c r="E29" s="127"/>
      <c r="F29" s="68">
        <f>ROUND(C29*(21/100),2)</f>
        <v>0</v>
      </c>
      <c r="G29" s="126" t="s">
        <v>1658</v>
      </c>
      <c r="H29" s="127"/>
      <c r="I29" s="68">
        <f>SUM(F28:F29)+I28</f>
        <v>0</v>
      </c>
      <c r="J29" s="37"/>
    </row>
    <row r="30" spans="1:9" ht="12.75">
      <c r="A30" s="58"/>
      <c r="B30" s="58"/>
      <c r="C30" s="58"/>
      <c r="D30" s="58"/>
      <c r="E30" s="58"/>
      <c r="F30" s="58"/>
      <c r="G30" s="58"/>
      <c r="H30" s="58"/>
      <c r="I30" s="58"/>
    </row>
    <row r="31" spans="1:10" ht="12.75" customHeight="1">
      <c r="A31" s="128" t="s">
        <v>1631</v>
      </c>
      <c r="B31" s="129"/>
      <c r="C31" s="130"/>
      <c r="D31" s="128" t="s">
        <v>1644</v>
      </c>
      <c r="E31" s="129"/>
      <c r="F31" s="130"/>
      <c r="G31" s="128" t="s">
        <v>1659</v>
      </c>
      <c r="H31" s="129"/>
      <c r="I31" s="130"/>
      <c r="J31" s="38"/>
    </row>
    <row r="32" spans="1:10" ht="12.75" customHeight="1">
      <c r="A32" s="131"/>
      <c r="B32" s="132"/>
      <c r="C32" s="133"/>
      <c r="D32" s="131"/>
      <c r="E32" s="132"/>
      <c r="F32" s="133"/>
      <c r="G32" s="131"/>
      <c r="H32" s="132"/>
      <c r="I32" s="133"/>
      <c r="J32" s="38"/>
    </row>
    <row r="33" spans="1:10" ht="12.75" customHeight="1">
      <c r="A33" s="131"/>
      <c r="B33" s="132"/>
      <c r="C33" s="133"/>
      <c r="D33" s="131"/>
      <c r="E33" s="132"/>
      <c r="F33" s="133"/>
      <c r="G33" s="131"/>
      <c r="H33" s="132"/>
      <c r="I33" s="133"/>
      <c r="J33" s="38"/>
    </row>
    <row r="34" spans="1:10" ht="12.75" customHeight="1">
      <c r="A34" s="131"/>
      <c r="B34" s="132"/>
      <c r="C34" s="133"/>
      <c r="D34" s="131"/>
      <c r="E34" s="132"/>
      <c r="F34" s="133"/>
      <c r="G34" s="131"/>
      <c r="H34" s="132"/>
      <c r="I34" s="133"/>
      <c r="J34" s="38"/>
    </row>
    <row r="35" spans="1:10" ht="12.75" customHeight="1">
      <c r="A35" s="134" t="s">
        <v>1632</v>
      </c>
      <c r="B35" s="135"/>
      <c r="C35" s="136"/>
      <c r="D35" s="134" t="s">
        <v>1632</v>
      </c>
      <c r="E35" s="135"/>
      <c r="F35" s="136"/>
      <c r="G35" s="134" t="s">
        <v>1632</v>
      </c>
      <c r="H35" s="135"/>
      <c r="I35" s="136"/>
      <c r="J35" s="38"/>
    </row>
    <row r="36" spans="1:9" ht="10.5" customHeight="1">
      <c r="A36" s="59" t="s">
        <v>586</v>
      </c>
      <c r="B36" s="51"/>
      <c r="C36" s="51"/>
      <c r="D36" s="51"/>
      <c r="E36" s="51"/>
      <c r="F36" s="51"/>
      <c r="G36" s="51"/>
      <c r="H36" s="51"/>
      <c r="I36" s="51"/>
    </row>
    <row r="37" spans="1:9" ht="409.5" customHeight="1" hidden="1">
      <c r="A37" s="93"/>
      <c r="B37" s="85"/>
      <c r="C37" s="85"/>
      <c r="D37" s="85"/>
      <c r="E37" s="85"/>
      <c r="F37" s="85"/>
      <c r="G37" s="85"/>
      <c r="H37" s="85"/>
      <c r="I37" s="85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7109375" style="0" customWidth="1"/>
    <col min="3" max="3" width="22.8515625" style="0" customWidth="1"/>
    <col min="4" max="4" width="10.14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9"/>
      <c r="B1" s="8"/>
      <c r="C1" s="110" t="s">
        <v>1674</v>
      </c>
      <c r="D1" s="111"/>
      <c r="E1" s="111"/>
      <c r="F1" s="111"/>
      <c r="G1" s="111"/>
      <c r="H1" s="111"/>
      <c r="I1" s="111"/>
    </row>
    <row r="2" spans="1:10" ht="12.75">
      <c r="A2" s="82" t="s">
        <v>1</v>
      </c>
      <c r="B2" s="83"/>
      <c r="C2" s="86" t="s">
        <v>952</v>
      </c>
      <c r="D2" s="109"/>
      <c r="E2" s="89" t="s">
        <v>1510</v>
      </c>
      <c r="F2" s="89" t="s">
        <v>1515</v>
      </c>
      <c r="G2" s="83"/>
      <c r="H2" s="89" t="s">
        <v>1660</v>
      </c>
      <c r="I2" s="112" t="s">
        <v>1664</v>
      </c>
      <c r="J2" s="37"/>
    </row>
    <row r="3" spans="1:10" ht="12.75" customHeight="1">
      <c r="A3" s="84"/>
      <c r="B3" s="85"/>
      <c r="C3" s="87"/>
      <c r="D3" s="87"/>
      <c r="E3" s="85"/>
      <c r="F3" s="85"/>
      <c r="G3" s="85"/>
      <c r="H3" s="85"/>
      <c r="I3" s="91"/>
      <c r="J3" s="37"/>
    </row>
    <row r="4" spans="1:10" ht="12.75">
      <c r="A4" s="92" t="s">
        <v>2</v>
      </c>
      <c r="B4" s="85"/>
      <c r="C4" s="93" t="s">
        <v>953</v>
      </c>
      <c r="D4" s="85"/>
      <c r="E4" s="93" t="s">
        <v>1511</v>
      </c>
      <c r="F4" s="93" t="s">
        <v>1516</v>
      </c>
      <c r="G4" s="85"/>
      <c r="H4" s="93" t="s">
        <v>1660</v>
      </c>
      <c r="I4" s="113" t="s">
        <v>1665</v>
      </c>
      <c r="J4" s="37"/>
    </row>
    <row r="5" spans="1:10" ht="12.75" customHeight="1">
      <c r="A5" s="84"/>
      <c r="B5" s="85"/>
      <c r="C5" s="85"/>
      <c r="D5" s="85"/>
      <c r="E5" s="85"/>
      <c r="F5" s="85"/>
      <c r="G5" s="85"/>
      <c r="H5" s="85"/>
      <c r="I5" s="91"/>
      <c r="J5" s="37"/>
    </row>
    <row r="6" spans="1:10" ht="12.75">
      <c r="A6" s="92" t="s">
        <v>3</v>
      </c>
      <c r="B6" s="85"/>
      <c r="C6" s="93" t="s">
        <v>954</v>
      </c>
      <c r="D6" s="85"/>
      <c r="E6" s="93" t="s">
        <v>1512</v>
      </c>
      <c r="F6" s="93" t="s">
        <v>1517</v>
      </c>
      <c r="G6" s="85"/>
      <c r="H6" s="93" t="s">
        <v>1660</v>
      </c>
      <c r="I6" s="113"/>
      <c r="J6" s="37"/>
    </row>
    <row r="7" spans="1:10" ht="12.75" customHeight="1">
      <c r="A7" s="84"/>
      <c r="B7" s="85"/>
      <c r="C7" s="85"/>
      <c r="D7" s="85"/>
      <c r="E7" s="85"/>
      <c r="F7" s="85"/>
      <c r="G7" s="85"/>
      <c r="H7" s="85"/>
      <c r="I7" s="91"/>
      <c r="J7" s="37"/>
    </row>
    <row r="8" spans="1:10" ht="12.75">
      <c r="A8" s="92" t="s">
        <v>1489</v>
      </c>
      <c r="B8" s="85"/>
      <c r="C8" s="94" t="s">
        <v>6</v>
      </c>
      <c r="D8" s="85"/>
      <c r="E8" s="93" t="s">
        <v>1490</v>
      </c>
      <c r="F8" s="85"/>
      <c r="G8" s="85"/>
      <c r="H8" s="94" t="s">
        <v>1661</v>
      </c>
      <c r="I8" s="113" t="s">
        <v>585</v>
      </c>
      <c r="J8" s="37"/>
    </row>
    <row r="9" spans="1:10" ht="12.75">
      <c r="A9" s="84"/>
      <c r="B9" s="85"/>
      <c r="C9" s="85"/>
      <c r="D9" s="85"/>
      <c r="E9" s="85"/>
      <c r="F9" s="85"/>
      <c r="G9" s="85"/>
      <c r="H9" s="85"/>
      <c r="I9" s="91"/>
      <c r="J9" s="37"/>
    </row>
    <row r="10" spans="1:10" ht="12.75">
      <c r="A10" s="92" t="s">
        <v>4</v>
      </c>
      <c r="B10" s="85"/>
      <c r="C10" s="93"/>
      <c r="D10" s="85"/>
      <c r="E10" s="93" t="s">
        <v>1513</v>
      </c>
      <c r="F10" s="93" t="s">
        <v>1518</v>
      </c>
      <c r="G10" s="85"/>
      <c r="H10" s="94" t="s">
        <v>1662</v>
      </c>
      <c r="I10" s="116">
        <v>43085</v>
      </c>
      <c r="J10" s="37"/>
    </row>
    <row r="11" spans="1:10" ht="12.75">
      <c r="A11" s="114"/>
      <c r="B11" s="115"/>
      <c r="C11" s="115"/>
      <c r="D11" s="115"/>
      <c r="E11" s="115"/>
      <c r="F11" s="115"/>
      <c r="G11" s="115"/>
      <c r="H11" s="115"/>
      <c r="I11" s="117"/>
      <c r="J11" s="37"/>
    </row>
    <row r="12" spans="1:9" ht="12.75">
      <c r="A12" s="9"/>
      <c r="B12" s="9"/>
      <c r="C12" s="9"/>
      <c r="D12" s="9"/>
      <c r="E12" s="9"/>
      <c r="F12" s="9"/>
      <c r="G12" s="9"/>
      <c r="H12" s="9"/>
      <c r="I12" s="9"/>
    </row>
    <row r="13" spans="1:9" ht="12.75" customHeight="1">
      <c r="A13" s="137" t="s">
        <v>1666</v>
      </c>
      <c r="B13" s="138"/>
      <c r="C13" s="138"/>
      <c r="D13" s="138"/>
      <c r="E13" s="138"/>
      <c r="F13" s="70"/>
      <c r="G13" s="70"/>
      <c r="H13" s="70"/>
      <c r="I13" s="70"/>
    </row>
    <row r="14" spans="1:10" ht="12.75">
      <c r="A14" s="139" t="s">
        <v>1667</v>
      </c>
      <c r="B14" s="140"/>
      <c r="C14" s="140"/>
      <c r="D14" s="140"/>
      <c r="E14" s="141"/>
      <c r="F14" s="71" t="s">
        <v>1675</v>
      </c>
      <c r="G14" s="71" t="s">
        <v>1676</v>
      </c>
      <c r="H14" s="71" t="s">
        <v>1677</v>
      </c>
      <c r="I14" s="71" t="s">
        <v>1675</v>
      </c>
      <c r="J14" s="38"/>
    </row>
    <row r="15" spans="1:10" ht="12.75">
      <c r="A15" s="142" t="s">
        <v>1637</v>
      </c>
      <c r="B15" s="143"/>
      <c r="C15" s="143"/>
      <c r="D15" s="143"/>
      <c r="E15" s="144"/>
      <c r="F15" s="72">
        <v>0</v>
      </c>
      <c r="G15" s="75"/>
      <c r="H15" s="75"/>
      <c r="I15" s="72">
        <f>F15</f>
        <v>0</v>
      </c>
      <c r="J15" s="37"/>
    </row>
    <row r="16" spans="1:10" ht="12.75">
      <c r="A16" s="142" t="s">
        <v>1638</v>
      </c>
      <c r="B16" s="143"/>
      <c r="C16" s="143"/>
      <c r="D16" s="143"/>
      <c r="E16" s="144"/>
      <c r="F16" s="72">
        <v>0</v>
      </c>
      <c r="G16" s="75"/>
      <c r="H16" s="75"/>
      <c r="I16" s="72">
        <f>F16</f>
        <v>0</v>
      </c>
      <c r="J16" s="37"/>
    </row>
    <row r="17" spans="1:10" ht="12.75">
      <c r="A17" s="145" t="s">
        <v>1639</v>
      </c>
      <c r="B17" s="146"/>
      <c r="C17" s="146"/>
      <c r="D17" s="146"/>
      <c r="E17" s="147"/>
      <c r="F17" s="73">
        <v>0</v>
      </c>
      <c r="G17" s="76"/>
      <c r="H17" s="76"/>
      <c r="I17" s="73">
        <f>F17</f>
        <v>0</v>
      </c>
      <c r="J17" s="37"/>
    </row>
    <row r="18" spans="1:10" ht="12.75">
      <c r="A18" s="148" t="s">
        <v>1668</v>
      </c>
      <c r="B18" s="149"/>
      <c r="C18" s="149"/>
      <c r="D18" s="149"/>
      <c r="E18" s="150"/>
      <c r="F18" s="74"/>
      <c r="G18" s="77"/>
      <c r="H18" s="77"/>
      <c r="I18" s="78">
        <f>SUM(I15:I17)</f>
        <v>0</v>
      </c>
      <c r="J18" s="38"/>
    </row>
    <row r="19" spans="1:9" ht="12.75">
      <c r="A19" s="69"/>
      <c r="B19" s="69"/>
      <c r="C19" s="69"/>
      <c r="D19" s="69"/>
      <c r="E19" s="69"/>
      <c r="F19" s="69"/>
      <c r="G19" s="69"/>
      <c r="H19" s="69"/>
      <c r="I19" s="69"/>
    </row>
    <row r="20" spans="1:10" ht="12.75">
      <c r="A20" s="139" t="s">
        <v>1663</v>
      </c>
      <c r="B20" s="140"/>
      <c r="C20" s="140"/>
      <c r="D20" s="140"/>
      <c r="E20" s="141"/>
      <c r="F20" s="71" t="s">
        <v>1675</v>
      </c>
      <c r="G20" s="71" t="s">
        <v>1676</v>
      </c>
      <c r="H20" s="71" t="s">
        <v>1677</v>
      </c>
      <c r="I20" s="71" t="s">
        <v>1675</v>
      </c>
      <c r="J20" s="38"/>
    </row>
    <row r="21" spans="1:10" ht="12.75">
      <c r="A21" s="142" t="s">
        <v>1647</v>
      </c>
      <c r="B21" s="143"/>
      <c r="C21" s="143"/>
      <c r="D21" s="143"/>
      <c r="E21" s="144"/>
      <c r="F21" s="72">
        <v>0</v>
      </c>
      <c r="G21" s="75"/>
      <c r="H21" s="75"/>
      <c r="I21" s="72">
        <f aca="true" t="shared" si="0" ref="I21:I26">F21</f>
        <v>0</v>
      </c>
      <c r="J21" s="37"/>
    </row>
    <row r="22" spans="1:10" ht="12.75">
      <c r="A22" s="142" t="s">
        <v>1648</v>
      </c>
      <c r="B22" s="143"/>
      <c r="C22" s="143"/>
      <c r="D22" s="143"/>
      <c r="E22" s="144"/>
      <c r="F22" s="72">
        <v>0</v>
      </c>
      <c r="G22" s="75"/>
      <c r="H22" s="75"/>
      <c r="I22" s="72">
        <f t="shared" si="0"/>
        <v>0</v>
      </c>
      <c r="J22" s="37"/>
    </row>
    <row r="23" spans="1:10" ht="12.75">
      <c r="A23" s="142" t="s">
        <v>1649</v>
      </c>
      <c r="B23" s="143"/>
      <c r="C23" s="143"/>
      <c r="D23" s="143"/>
      <c r="E23" s="144"/>
      <c r="F23" s="72">
        <v>0</v>
      </c>
      <c r="G23" s="75"/>
      <c r="H23" s="75"/>
      <c r="I23" s="72">
        <f t="shared" si="0"/>
        <v>0</v>
      </c>
      <c r="J23" s="37"/>
    </row>
    <row r="24" spans="1:10" ht="12.75">
      <c r="A24" s="142" t="s">
        <v>1650</v>
      </c>
      <c r="B24" s="143"/>
      <c r="C24" s="143"/>
      <c r="D24" s="143"/>
      <c r="E24" s="144"/>
      <c r="F24" s="72">
        <v>0</v>
      </c>
      <c r="G24" s="75"/>
      <c r="H24" s="75"/>
      <c r="I24" s="72">
        <f t="shared" si="0"/>
        <v>0</v>
      </c>
      <c r="J24" s="37"/>
    </row>
    <row r="25" spans="1:10" ht="12.75">
      <c r="A25" s="142" t="s">
        <v>1651</v>
      </c>
      <c r="B25" s="143"/>
      <c r="C25" s="143"/>
      <c r="D25" s="143"/>
      <c r="E25" s="144"/>
      <c r="F25" s="72">
        <v>0</v>
      </c>
      <c r="G25" s="75"/>
      <c r="H25" s="75"/>
      <c r="I25" s="72">
        <f t="shared" si="0"/>
        <v>0</v>
      </c>
      <c r="J25" s="37"/>
    </row>
    <row r="26" spans="1:10" ht="12.75">
      <c r="A26" s="145" t="s">
        <v>1652</v>
      </c>
      <c r="B26" s="146"/>
      <c r="C26" s="146"/>
      <c r="D26" s="146"/>
      <c r="E26" s="147"/>
      <c r="F26" s="73">
        <v>0</v>
      </c>
      <c r="G26" s="76"/>
      <c r="H26" s="76"/>
      <c r="I26" s="73">
        <f t="shared" si="0"/>
        <v>0</v>
      </c>
      <c r="J26" s="37"/>
    </row>
    <row r="27" spans="1:10" ht="12.75">
      <c r="A27" s="148" t="s">
        <v>1669</v>
      </c>
      <c r="B27" s="149"/>
      <c r="C27" s="149"/>
      <c r="D27" s="149"/>
      <c r="E27" s="150"/>
      <c r="F27" s="74"/>
      <c r="G27" s="77"/>
      <c r="H27" s="77"/>
      <c r="I27" s="78">
        <f>SUM(I21:I26)</f>
        <v>0</v>
      </c>
      <c r="J27" s="38"/>
    </row>
    <row r="28" spans="1:9" ht="12.75">
      <c r="A28" s="69"/>
      <c r="B28" s="69"/>
      <c r="C28" s="69"/>
      <c r="D28" s="69"/>
      <c r="E28" s="69"/>
      <c r="F28" s="69"/>
      <c r="G28" s="69"/>
      <c r="H28" s="69"/>
      <c r="I28" s="69"/>
    </row>
    <row r="29" spans="1:10" ht="12.75" customHeight="1">
      <c r="A29" s="151" t="s">
        <v>1670</v>
      </c>
      <c r="B29" s="152"/>
      <c r="C29" s="152"/>
      <c r="D29" s="152"/>
      <c r="E29" s="153"/>
      <c r="F29" s="154">
        <f>I18+I27</f>
        <v>0</v>
      </c>
      <c r="G29" s="155"/>
      <c r="H29" s="155"/>
      <c r="I29" s="156"/>
      <c r="J29" s="38"/>
    </row>
    <row r="30" spans="1:9" ht="12.75">
      <c r="A30" s="51"/>
      <c r="B30" s="51"/>
      <c r="C30" s="51"/>
      <c r="D30" s="51"/>
      <c r="E30" s="51"/>
      <c r="F30" s="51"/>
      <c r="G30" s="51"/>
      <c r="H30" s="51"/>
      <c r="I30" s="51"/>
    </row>
    <row r="33" spans="1:9" ht="12.75" customHeight="1">
      <c r="A33" s="137" t="s">
        <v>1671</v>
      </c>
      <c r="B33" s="138"/>
      <c r="C33" s="138"/>
      <c r="D33" s="138"/>
      <c r="E33" s="138"/>
      <c r="F33" s="70"/>
      <c r="G33" s="70"/>
      <c r="H33" s="70"/>
      <c r="I33" s="70"/>
    </row>
    <row r="34" spans="1:10" ht="12.75">
      <c r="A34" s="139" t="s">
        <v>1672</v>
      </c>
      <c r="B34" s="140"/>
      <c r="C34" s="140"/>
      <c r="D34" s="140"/>
      <c r="E34" s="141"/>
      <c r="F34" s="71" t="s">
        <v>1675</v>
      </c>
      <c r="G34" s="71" t="s">
        <v>1676</v>
      </c>
      <c r="H34" s="71" t="s">
        <v>1677</v>
      </c>
      <c r="I34" s="71" t="s">
        <v>1675</v>
      </c>
      <c r="J34" s="38"/>
    </row>
    <row r="35" spans="1:10" ht="12.75">
      <c r="A35" s="145"/>
      <c r="B35" s="146"/>
      <c r="C35" s="146"/>
      <c r="D35" s="146"/>
      <c r="E35" s="147"/>
      <c r="F35" s="73">
        <v>0</v>
      </c>
      <c r="G35" s="76"/>
      <c r="H35" s="76"/>
      <c r="I35" s="73">
        <f>F35</f>
        <v>0</v>
      </c>
      <c r="J35" s="37"/>
    </row>
    <row r="36" spans="1:10" ht="12.75">
      <c r="A36" s="148" t="s">
        <v>1673</v>
      </c>
      <c r="B36" s="149"/>
      <c r="C36" s="149"/>
      <c r="D36" s="149"/>
      <c r="E36" s="150"/>
      <c r="F36" s="74"/>
      <c r="G36" s="77"/>
      <c r="H36" s="77"/>
      <c r="I36" s="78">
        <f>SUM(I35:I35)</f>
        <v>0</v>
      </c>
      <c r="J36" s="38"/>
    </row>
    <row r="37" spans="1:9" ht="12.75">
      <c r="A37" s="51"/>
      <c r="B37" s="51"/>
      <c r="C37" s="51"/>
      <c r="D37" s="51"/>
      <c r="E37" s="51"/>
      <c r="F37" s="51"/>
      <c r="G37" s="51"/>
      <c r="H37" s="51"/>
      <c r="I37" s="51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Jan Brožek</cp:lastModifiedBy>
  <dcterms:modified xsi:type="dcterms:W3CDTF">2018-05-17T10:30:16Z</dcterms:modified>
  <cp:category/>
  <cp:version/>
  <cp:contentType/>
  <cp:contentStatus/>
</cp:coreProperties>
</file>