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vební rozpočet" sheetId="1" r:id="rId1"/>
    <sheet name="Rozpočet - Jen objekty celkem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<sst xmlns="http://schemas.openxmlformats.org/spreadsheetml/2006/main" count="1164" uniqueCount="578">
  <si>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</si>
  <si>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</si>
  <si>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</si>
  <si>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</si>
  <si>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</si>
  <si>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</si>
  <si>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</si>
  <si>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</si>
  <si>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</si>
  <si>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</si>
  <si>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</si>
  <si>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</si>
  <si>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</si>
  <si>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</si>
  <si>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</si>
  <si>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</si>
  <si>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</si>
  <si>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</si>
  <si>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</si>
  <si>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</si>
  <si>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</si>
  <si>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</si>
  <si>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</si>
  <si>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</si>
  <si>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</si>
  <si>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</si>
  <si>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</si>
  <si>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</si>
  <si>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</si>
  <si>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</si>
  <si>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</si>
  <si>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</si>
  <si>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</si>
  <si>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</si>
  <si>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</si>
  <si>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</si>
  <si>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</si>
  <si>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</si>
  <si>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</si>
  <si>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</si>
  <si>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</si>
  <si>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</si>
  <si>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</si>
  <si>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</si>
  <si>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</si>
  <si>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</si>
  <si>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</si>
  <si>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</si>
  <si>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</si>
  <si>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</si>
  <si>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</si>
  <si>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</si>
  <si>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</si>
  <si>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</si>
  <si>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</si>
  <si>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</si>
  <si>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</si>
  <si>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</si>
  <si>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</si>
  <si>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</si>
  <si>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</si>
  <si>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</si>
  <si>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</si>
  <si>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</si>
  <si>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</si>
  <si>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</si>
  <si>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</si>
  <si>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</si>
  <si>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</si>
  <si>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</si>
  <si>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</si>
  <si>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</si>
  <si>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</si>
  <si>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</si>
  <si>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</si>
  <si>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</si>
  <si>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</si>
  <si>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</si>
  <si>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</si>
  <si>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</si>
  <si>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</si>
  <si>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</si>
  <si>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</si>
  <si>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</si>
  <si>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</si>
  <si>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</si>
  <si>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</si>
  <si>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</si>
  <si>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</si>
  <si>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</si>
  <si>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</si>
  <si>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</si>
  <si>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</si>
  <si>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</si>
  <si>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</si>
  <si>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</si>
  <si>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</si>
  <si>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</si>
  <si>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</si>
  <si>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</si>
  <si>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</si>
  <si>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</si>
  <si>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</si>
  <si>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</si>
  <si>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</si>
  <si>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</si>
  <si>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</si>
  <si>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</si>
  <si>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</si>
  <si>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</si>
  <si>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</si>
  <si>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</si>
  <si>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</si>
  <si>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</si>
  <si>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</si>
  <si>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</si>
  <si>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</si>
  <si>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</si>
  <si>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</si>
  <si>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</si>
  <si>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</si>
  <si>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</si>
  <si>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</si>
  <si>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</si>
  <si>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</si>
  <si>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</si>
  <si>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</si>
  <si>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</si>
  <si>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</si>
  <si>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</si>
  <si>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</si>
  <si>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</si>
  <si>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</si>
  <si>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</si>
  <si>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</si>
  <si>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</si>
  <si>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</si>
  <si>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</si>
  <si>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</si>
  <si>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</si>
  <si>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</si>
  <si>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</si>
  <si>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</si>
  <si>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</si>
  <si>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</si>
  <si>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</si>
  <si>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</si>
  <si>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</si>
  <si>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</si>
  <si>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</si>
  <si>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</si>
  <si>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</si>
  <si>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</si>
  <si>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</si>
  <si>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Objekt</t>
  </si>
  <si>
    <t>01</t>
  </si>
  <si>
    <t>02</t>
  </si>
  <si>
    <t>03</t>
  </si>
  <si>
    <t>04</t>
  </si>
  <si>
    <t>Kód</t>
  </si>
  <si>
    <t>001NS</t>
  </si>
  <si>
    <t>713100020RAD</t>
  </si>
  <si>
    <t>002NS</t>
  </si>
  <si>
    <t>998711101R00</t>
  </si>
  <si>
    <t>622421408RU5</t>
  </si>
  <si>
    <t>771575034RA0</t>
  </si>
  <si>
    <t>67352326</t>
  </si>
  <si>
    <t>241-04VD</t>
  </si>
  <si>
    <t>622421308RU5</t>
  </si>
  <si>
    <t>622319124RU1</t>
  </si>
  <si>
    <t>622311954RT3</t>
  </si>
  <si>
    <t>978015391R00</t>
  </si>
  <si>
    <t>978059211R00</t>
  </si>
  <si>
    <t>998011002R00</t>
  </si>
  <si>
    <t>713</t>
  </si>
  <si>
    <t>67352230</t>
  </si>
  <si>
    <t>132201101R00</t>
  </si>
  <si>
    <t>132201109R00</t>
  </si>
  <si>
    <t>120001101R00</t>
  </si>
  <si>
    <t>161101101R00</t>
  </si>
  <si>
    <t>162601101R00</t>
  </si>
  <si>
    <t>174101101R00</t>
  </si>
  <si>
    <t>171201201R00</t>
  </si>
  <si>
    <t>175103111R00</t>
  </si>
  <si>
    <t>180402111R00</t>
  </si>
  <si>
    <t>916561111RT4</t>
  </si>
  <si>
    <t>919735123R00</t>
  </si>
  <si>
    <t>00572400</t>
  </si>
  <si>
    <t>212755115R00</t>
  </si>
  <si>
    <t>211561111R00</t>
  </si>
  <si>
    <t>58333663</t>
  </si>
  <si>
    <t>451971111R00</t>
  </si>
  <si>
    <t>0432ncVD</t>
  </si>
  <si>
    <t>31171743.A</t>
  </si>
  <si>
    <t>59244033.A</t>
  </si>
  <si>
    <t>965043421RT2</t>
  </si>
  <si>
    <t>69310658</t>
  </si>
  <si>
    <t>583309990001</t>
  </si>
  <si>
    <t>631312511R00</t>
  </si>
  <si>
    <t>631571003R00</t>
  </si>
  <si>
    <t>711</t>
  </si>
  <si>
    <t>28324276.A</t>
  </si>
  <si>
    <t>311419811R00</t>
  </si>
  <si>
    <t>764</t>
  </si>
  <si>
    <t>764421270R00</t>
  </si>
  <si>
    <t>7640001VD</t>
  </si>
  <si>
    <t>764234460R00</t>
  </si>
  <si>
    <t>764929503R00</t>
  </si>
  <si>
    <t>941941052R00</t>
  </si>
  <si>
    <t>941941852R00</t>
  </si>
  <si>
    <t>943955191R00</t>
  </si>
  <si>
    <t>M46</t>
  </si>
  <si>
    <t>460680046R00</t>
  </si>
  <si>
    <t>S</t>
  </si>
  <si>
    <t>979011111R00</t>
  </si>
  <si>
    <t>979081111R00</t>
  </si>
  <si>
    <t>979990102R00</t>
  </si>
  <si>
    <t>722</t>
  </si>
  <si>
    <t>722173403R00</t>
  </si>
  <si>
    <t>722174212R00</t>
  </si>
  <si>
    <t>722175112R00</t>
  </si>
  <si>
    <t>722179191R00</t>
  </si>
  <si>
    <t>7220001VD</t>
  </si>
  <si>
    <t>722237324R00</t>
  </si>
  <si>
    <t>722237327R00</t>
  </si>
  <si>
    <t>722235653R00</t>
  </si>
  <si>
    <t>738119316R00</t>
  </si>
  <si>
    <t>722235523R00</t>
  </si>
  <si>
    <t>734225224RT2</t>
  </si>
  <si>
    <t>734415113R00</t>
  </si>
  <si>
    <t>722290234R00</t>
  </si>
  <si>
    <t>998722101R00</t>
  </si>
  <si>
    <t>731</t>
  </si>
  <si>
    <t>7310001VD</t>
  </si>
  <si>
    <t>7310002VD</t>
  </si>
  <si>
    <t>732</t>
  </si>
  <si>
    <t>732221811R00</t>
  </si>
  <si>
    <t>732110812R00</t>
  </si>
  <si>
    <t>732320814R00</t>
  </si>
  <si>
    <t>732420815R00</t>
  </si>
  <si>
    <t>732111128R00</t>
  </si>
  <si>
    <t>732331519R00</t>
  </si>
  <si>
    <t>732421325R00</t>
  </si>
  <si>
    <t>732421312R00</t>
  </si>
  <si>
    <t>732421311R00</t>
  </si>
  <si>
    <t>732890801R00</t>
  </si>
  <si>
    <t>733</t>
  </si>
  <si>
    <t>733121122R00</t>
  </si>
  <si>
    <t>733161107R00</t>
  </si>
  <si>
    <t>733161110R00</t>
  </si>
  <si>
    <t>733190107R00</t>
  </si>
  <si>
    <t>733190225R00</t>
  </si>
  <si>
    <t>998733101R00</t>
  </si>
  <si>
    <t>733110810R00</t>
  </si>
  <si>
    <t>733890801R00</t>
  </si>
  <si>
    <t>7330001VD</t>
  </si>
  <si>
    <t>734</t>
  </si>
  <si>
    <t>734209115RT3</t>
  </si>
  <si>
    <t>734209117RT3</t>
  </si>
  <si>
    <t>734209118RT3</t>
  </si>
  <si>
    <t>734209112RT2</t>
  </si>
  <si>
    <t>734291113R00</t>
  </si>
  <si>
    <t>734411111R00</t>
  </si>
  <si>
    <t>734421130R00</t>
  </si>
  <si>
    <t>734209102R00</t>
  </si>
  <si>
    <t>734295115R00</t>
  </si>
  <si>
    <t>734251124R00</t>
  </si>
  <si>
    <t>998734101R00</t>
  </si>
  <si>
    <t>734100812R00</t>
  </si>
  <si>
    <t>734890801R00</t>
  </si>
  <si>
    <t>767</t>
  </si>
  <si>
    <t>767999103R00</t>
  </si>
  <si>
    <t>998767101R00</t>
  </si>
  <si>
    <t>783</t>
  </si>
  <si>
    <t>783126250R00</t>
  </si>
  <si>
    <t>783421310R00</t>
  </si>
  <si>
    <t>M21</t>
  </si>
  <si>
    <t>210160051R00</t>
  </si>
  <si>
    <t>M23</t>
  </si>
  <si>
    <t>230230031R00</t>
  </si>
  <si>
    <t>28377034</t>
  </si>
  <si>
    <t>28377003</t>
  </si>
  <si>
    <t>5513805111</t>
  </si>
  <si>
    <t>49032VD</t>
  </si>
  <si>
    <t>48467301</t>
  </si>
  <si>
    <t>48467320</t>
  </si>
  <si>
    <t>723</t>
  </si>
  <si>
    <t>723120203R00</t>
  </si>
  <si>
    <t>723120204R00</t>
  </si>
  <si>
    <t>723120205R00</t>
  </si>
  <si>
    <t>723120206R00</t>
  </si>
  <si>
    <t>723239102R00</t>
  </si>
  <si>
    <t>723239103R00</t>
  </si>
  <si>
    <t>723233149R00</t>
  </si>
  <si>
    <t>484173122</t>
  </si>
  <si>
    <t>7230001VD</t>
  </si>
  <si>
    <t>7230002VD</t>
  </si>
  <si>
    <t>7230003VD</t>
  </si>
  <si>
    <t>7230004VD</t>
  </si>
  <si>
    <t>7230005VD</t>
  </si>
  <si>
    <t>998723102R00</t>
  </si>
  <si>
    <t>9003ncVD</t>
  </si>
  <si>
    <t>900      R03</t>
  </si>
  <si>
    <t>H000VD</t>
  </si>
  <si>
    <t>0004VD</t>
  </si>
  <si>
    <t>9005ncVD</t>
  </si>
  <si>
    <t>S+T část (cenová soustava RTS a.s.))</t>
  </si>
  <si>
    <t xml:space="preserve"> Snížení energetické náročnosti objektu MŠ v Donmaníně</t>
  </si>
  <si>
    <t>Domanín,parc. č. 428</t>
  </si>
  <si>
    <t>80131</t>
  </si>
  <si>
    <t>Zkrácený popis</t>
  </si>
  <si>
    <t>Stavební práce-uznatelné</t>
  </si>
  <si>
    <t>Zateplení stropu</t>
  </si>
  <si>
    <t>TI stropní kce (F-04) ) tl. 10 cm ( EPS 70F) - strop I.PP</t>
  </si>
  <si>
    <t>Tepelná izolace střechy</t>
  </si>
  <si>
    <t>TI volně položené tl. 20 cm ( XPS 100 S) - pl.střecha-F-04</t>
  </si>
  <si>
    <t>Přesun hmot pro izolace tepelné, výšky do 6 m</t>
  </si>
  <si>
    <t>TI - podstřeší tl. 160 mm min. vata /F-04/</t>
  </si>
  <si>
    <t>Betonová dlažba 30/30/4 cm - pl. střecha</t>
  </si>
  <si>
    <t>TI - atiky tl. 10 cm (TZ) - pl.střecha</t>
  </si>
  <si>
    <t>Fólie  speciál parozábrana (podsdtřeší-F-04)</t>
  </si>
  <si>
    <t>Pokládka folie</t>
  </si>
  <si>
    <t>Úprava povrchů vnější</t>
  </si>
  <si>
    <t>KZS tl. 120 mm min. vata (fasáda - ETICS)</t>
  </si>
  <si>
    <t>KZS tl.120 mm šedý (fasáda - ETICS)</t>
  </si>
  <si>
    <t>KZS tl. 120 mm nenasákavý (sokl - ETICS)</t>
  </si>
  <si>
    <t>KZS tl. 30 mm šedý (ostění - ETICS)</t>
  </si>
  <si>
    <t>Otlučení omítek vnějších MVC v složit.5-7 do 20 %</t>
  </si>
  <si>
    <t>Odsekání soklů stěn</t>
  </si>
  <si>
    <t>Přesun hmot pro budovy zděné výšky do 12 m</t>
  </si>
  <si>
    <t>Izolace tepelné</t>
  </si>
  <si>
    <t>Fólie difuzní  se samolepicím pásem (podstřeší-F-04)</t>
  </si>
  <si>
    <t>Fólie difuzní  otevřená (pl. střecha-F-04)</t>
  </si>
  <si>
    <t>Stav. práce - neuznatelné</t>
  </si>
  <si>
    <t>Hloubené vykopávky</t>
  </si>
  <si>
    <t>Hloubení rýh šířky do 60 cm v hor.3 do 1000 m3</t>
  </si>
  <si>
    <t>Příplatek za lepivost - hloubení rýh 60 cm v hor.3</t>
  </si>
  <si>
    <t>Příplatek za ztížení vykopávky v blízkosti budovy</t>
  </si>
  <si>
    <t>Přemístění výkopku</t>
  </si>
  <si>
    <t>Svislé přemístění výkopku z hor.1-4 do 2,5 m</t>
  </si>
  <si>
    <t>Vodorovné přemístění výkopku z hor.1-4 do 4000 m</t>
  </si>
  <si>
    <t>Konstrukce ze zemin</t>
  </si>
  <si>
    <t>Zásyp jam, rýh, šachet</t>
  </si>
  <si>
    <t>Uložení sypaniny na skládku</t>
  </si>
  <si>
    <t>Obsyp objektu-výosevky,písek</t>
  </si>
  <si>
    <t>Povrchové úpravy terénu</t>
  </si>
  <si>
    <t>Založení trávníku parkového výsevem v rovině</t>
  </si>
  <si>
    <t>Osazení záhon.obrubníků do lože z B 12,5 s opěrou</t>
  </si>
  <si>
    <t>Řezání stávajícího betonového krytu tl. 10 - 15 cm</t>
  </si>
  <si>
    <t>Směs travní parková</t>
  </si>
  <si>
    <t>Úprava podloží a základové spáry</t>
  </si>
  <si>
    <t>Trativody z drenážních trubek DN 12,5 cm bez lože</t>
  </si>
  <si>
    <t>Výplň odvodňovacích žeber kam. hrubě drcen.</t>
  </si>
  <si>
    <t>Kamenivo  těžené hr frakce 16-32 kačírek</t>
  </si>
  <si>
    <t>Položení vrstvy z geotextil.,uchycení spony, hřeby</t>
  </si>
  <si>
    <t>Drenážní trubky DN 125</t>
  </si>
  <si>
    <t>Síťka plastová d 20x 20</t>
  </si>
  <si>
    <t>Mřížka ochranná větrací univerzální</t>
  </si>
  <si>
    <t>Bourání podkladů bet., potěr tl. 15 cm, pl.1 m2</t>
  </si>
  <si>
    <t>Podkladní a vedlejší konstrukce (inženýr. stavby kromě vozovek a železnič. svršku)</t>
  </si>
  <si>
    <t>Geotextilie  pestrá 180 g/m2 š. 200cm</t>
  </si>
  <si>
    <t>Písek kopaný</t>
  </si>
  <si>
    <t>Podlahy, podlahové konstrukce</t>
  </si>
  <si>
    <t>Mazanina betonová tl. 5 - 8 cm B 12,5 (C 12/15)</t>
  </si>
  <si>
    <t>Násyp ze štěrkopísku 0 - 32,  zpevňující</t>
  </si>
  <si>
    <t>Izolace proti vodě</t>
  </si>
  <si>
    <t>Fólie nopová , nopy 90 mm</t>
  </si>
  <si>
    <t>Fólie nopová , nopy 8 mm</t>
  </si>
  <si>
    <t>Izolace nopová fólie -  malé nopy</t>
  </si>
  <si>
    <t>Izolace nopová fólie -  velké nopy</t>
  </si>
  <si>
    <t>Konstrukce klempířské</t>
  </si>
  <si>
    <t>Oplechování říms z Pz plechu, rš 500 mm</t>
  </si>
  <si>
    <t>Demontáž kcí klempířských</t>
  </si>
  <si>
    <t>Montáž kcí klempířských vč. úpravy</t>
  </si>
  <si>
    <t>Lemování zdí Ti Zn, ploché stř.,</t>
  </si>
  <si>
    <t>Odpadní trouby z popl.plechu, kruhové do D140 mm</t>
  </si>
  <si>
    <t>Lešení a stavební výtahy</t>
  </si>
  <si>
    <t>Montáž lešení leh.řad.s podlahami,š.1,5 m, H 24 m</t>
  </si>
  <si>
    <t>Demontáž lešení leh.řad.s podlahami,š.1,5 m,H 24 m</t>
  </si>
  <si>
    <t>Příplatek za každý měsíc použití leš.k pol.21až 41</t>
  </si>
  <si>
    <t>Zemní práce při montážích</t>
  </si>
  <si>
    <t>Vysekání drážky ve zdi cihelné 15 x 15 cm</t>
  </si>
  <si>
    <t>Přesuny sutí</t>
  </si>
  <si>
    <t>Vodorovná doprava suti a vybour. hmot</t>
  </si>
  <si>
    <t>Odvoz suti vybour. hmot na skládku do 5 km</t>
  </si>
  <si>
    <t>Poplatek za skládku suti - stavební suť</t>
  </si>
  <si>
    <t>KOTELNA</t>
  </si>
  <si>
    <t>Vnitřní vodovod</t>
  </si>
  <si>
    <t>Potrubí  (PP-R) d 25x3,5 mm</t>
  </si>
  <si>
    <t>Montáž potrubí z PP-E DN 20</t>
  </si>
  <si>
    <t>Montáž tvarovek plast polyf.svař.jeden spoj DN 20</t>
  </si>
  <si>
    <t>Příplatek za malý rozsah do 20 m rozvodu</t>
  </si>
  <si>
    <t>Změkčovací filtr pro plnění ot. systémů s ruční řídící hlavou, vč. montáže</t>
  </si>
  <si>
    <t>Kohout kulový ,2x záv. DN 25</t>
  </si>
  <si>
    <t>Kohout kulový,2x  záv.  DN 50</t>
  </si>
  <si>
    <t>Ventil zpětný  DN 25 (ěx závit)</t>
  </si>
  <si>
    <t>Ventil pojistný pro teplou vodu 15 - 10 bar</t>
  </si>
  <si>
    <t>Filtr se 2 závity DN 25</t>
  </si>
  <si>
    <t>Ventil termostatický směšovací DN 25</t>
  </si>
  <si>
    <t>Teploměr D 63/L 50 mm, 0°C až 120°C</t>
  </si>
  <si>
    <t>Proplach a dezinfekce vodovod.potrubí DN 80</t>
  </si>
  <si>
    <t>Přesun hmot pro vnitřní vodovod, výšky do 6 m</t>
  </si>
  <si>
    <t>Kotelny</t>
  </si>
  <si>
    <t>Hydraulický vyrovnávač tlaků 6/4". 6000 l/hod</t>
  </si>
  <si>
    <t>Zásobníkový ohřívač vody objem 300 l, výměník H/S 1.1/1,8 m2</t>
  </si>
  <si>
    <t>Strojovny</t>
  </si>
  <si>
    <t>Demontáž ohříváků zásobn. ležatých do 630 l-stávající zařízení U do 2,5 m2</t>
  </si>
  <si>
    <t>Demontáž těles rozdělovačů a sběračů, DN 200 mm-stáv. zařízení</t>
  </si>
  <si>
    <t>Odpojení nádrží od rozvodů potrubí, do 500 l</t>
  </si>
  <si>
    <t>Demontáž čerpadel oběhových  DN 80 - stávající zařízení</t>
  </si>
  <si>
    <t>Tělesa rozdělovačů a sběračů DN 100 dl 1m</t>
  </si>
  <si>
    <t>Nádoby expanzní tlakové 200/6 bar, KK se zajištěním</t>
  </si>
  <si>
    <t>Čerpadlo oběhové průtok 7m3/hod, dopr. výška 5,5 m, litina</t>
  </si>
  <si>
    <t>Čerpadlo oběhové průtok 1 m3/hod, dopr. výška 0,8 m, bronz</t>
  </si>
  <si>
    <t>Čerpadlo oběhové vč. 24 spínače, termostatem uzavíracím a zp. ventilem1</t>
  </si>
  <si>
    <t>Přemístění vybouraných hmot - strojovny, H do 6 m</t>
  </si>
  <si>
    <t>Rozvod potrubí</t>
  </si>
  <si>
    <t>Potrubí hladké bezešvé nízkotlaké D 76/3,2</t>
  </si>
  <si>
    <t>Potrubí měděné 28 x 1,5 mm, polotvrdé</t>
  </si>
  <si>
    <t>Potrubí měděné 42 x 1,5 mm, tvrdé</t>
  </si>
  <si>
    <t>Tlaková zkouška potrubí  DN 40</t>
  </si>
  <si>
    <t>Tlaková zkouška potrubí ocel hladkého DN 89/3,6</t>
  </si>
  <si>
    <t>Přesun hmot pro rozvody potrubí, výšky do 6 m</t>
  </si>
  <si>
    <t>Demontáž potrubí ocelového závitového do DN 50-80</t>
  </si>
  <si>
    <t>Přemístění vybouraných hmot - potrubí, H do 6 m</t>
  </si>
  <si>
    <t>Elektronický měřič tepla, průtok 6 m3/hod</t>
  </si>
  <si>
    <t>Armatury</t>
  </si>
  <si>
    <t>Montáž armatur závitových,se 2závity, G 1 vč. KK</t>
  </si>
  <si>
    <t>Montáž armatur závitových,se 2závity, G 6/4, vč KK</t>
  </si>
  <si>
    <t>Montáž armatur závitových,se 2závity, G 2, vč KK</t>
  </si>
  <si>
    <t>Montáž armatur závitových,se 2závity, G 1,vč filtru</t>
  </si>
  <si>
    <t>Montáž armatur závitových,se 2závity, G 2, vč filtru</t>
  </si>
  <si>
    <t>Montáž armatur závitových,se 2závity, G 3/8,vč. aut. ovz. ventilu</t>
  </si>
  <si>
    <t>Montáž armatur závitových,se 2závity, G 6/4,vč odlučovače vzduchu</t>
  </si>
  <si>
    <t>Kohouty plnící a vypouštěcí G 1/2</t>
  </si>
  <si>
    <t>Teploměr D63/L50mm, 0°C až 120°C</t>
  </si>
  <si>
    <t>Tlakoměr d63/10bar,0 - 6 bar</t>
  </si>
  <si>
    <t>Montáž armatur závitových,s 1závitem, G 3/8</t>
  </si>
  <si>
    <t>Směšovací armatury trojcestné se servopohonem G 2"</t>
  </si>
  <si>
    <t>Ventily pojistné pružinové DN 20/2,5 bar</t>
  </si>
  <si>
    <t>Přesun hmot pro armatury, výšky do 6 m</t>
  </si>
  <si>
    <t>Demontáž armatur se dvěma přírubami do DN 100</t>
  </si>
  <si>
    <t>Přemístění demontovaných hmot - armatur, H do 6 m</t>
  </si>
  <si>
    <t>Konstrukce doplňkové stavební (zámečnické)</t>
  </si>
  <si>
    <t>Ocelová kce z tyčí UE 120, vč. montáže</t>
  </si>
  <si>
    <t>Přesun hmot pro zámečnické konstr., výšky do 6 m</t>
  </si>
  <si>
    <t>Nátěry</t>
  </si>
  <si>
    <t>Nátěr syntetický OK plnostěnné 1x + 2x email</t>
  </si>
  <si>
    <t>Nátěr syntetický potrubí a armatur do DN 100 mm 2x +1x email</t>
  </si>
  <si>
    <t>Elektromontáže</t>
  </si>
  <si>
    <t>Montáž měření a regulace, připojení elektrospořebičů, el. pospojování</t>
  </si>
  <si>
    <t>Montáže potrubí</t>
  </si>
  <si>
    <t>Zkouška tlaku potrubí závitového DN 50</t>
  </si>
  <si>
    <t>Ostatní materiál</t>
  </si>
  <si>
    <t>Izolace tepelná potrubí  19 x 28 mm</t>
  </si>
  <si>
    <t>Izolace vodovodního potrubí  22 x 6 mm</t>
  </si>
  <si>
    <t>Kohout kulový PP-R DN 20</t>
  </si>
  <si>
    <t>Filtr cyklonový odkalovací, vč montáže</t>
  </si>
  <si>
    <t>Membránová expanzní nádoba teplá voda 8/10 bar</t>
  </si>
  <si>
    <t>Průtočná armatura pro exp. nádobu 3/4"</t>
  </si>
  <si>
    <t>Vnitřní plynovod</t>
  </si>
  <si>
    <t>Potrubí ocelové závitové černé svařované DN 20</t>
  </si>
  <si>
    <t>Potrubí ocelové závitové černé svařované DN 25</t>
  </si>
  <si>
    <t>Potrubí ocelové závitové černé svařované DN 32</t>
  </si>
  <si>
    <t>Potrubí ocelové závitové černé svařované DN 40</t>
  </si>
  <si>
    <t>Montáž plynovodních armatur, 2 závity, G 3/4, vč. KK</t>
  </si>
  <si>
    <t>Montáž plynovodních armatur, 2 závity, G 1,vč.KK</t>
  </si>
  <si>
    <t>Elektroventil G1" (bez proudu - uzavřen)</t>
  </si>
  <si>
    <t>Plynový kondenzační kotel, výkon 9,0 až 39,0 kW</t>
  </si>
  <si>
    <t>Regulace kaskády vč. čidel a dálkového ovládání</t>
  </si>
  <si>
    <t>Komínová sada sdružených odvodů spalin pro kaskády kotlů DN 160</t>
  </si>
  <si>
    <t>Detektor úniku plynu</t>
  </si>
  <si>
    <t>Odvod spalin - kontrolní T-kus přímý DN 160</t>
  </si>
  <si>
    <t>Odvod spalin - kryt komínové zděře DN 160</t>
  </si>
  <si>
    <t>Odvod spalin - komínová zděř DN 160</t>
  </si>
  <si>
    <t>Odvod spalin - patní koleno s podpěrou DN 160</t>
  </si>
  <si>
    <t>Odvod spalin - trubka  DN 160 x 2000 mm</t>
  </si>
  <si>
    <t>Odvod spalin - komínový poklop</t>
  </si>
  <si>
    <t>Montáž odkouření</t>
  </si>
  <si>
    <t>Přesun hmot pro vnitřní plynovod, výšky do 12 m</t>
  </si>
  <si>
    <t>Revize spalinových cest</t>
  </si>
  <si>
    <t>HZS - stavební práce pro profese</t>
  </si>
  <si>
    <t>Revize plynovodu</t>
  </si>
  <si>
    <t>Provozní řád kotelny</t>
  </si>
  <si>
    <t>Seřízení kotle a uvedení do provozu</t>
  </si>
  <si>
    <t>Doba výstavby:</t>
  </si>
  <si>
    <t>Začátek výstavby:</t>
  </si>
  <si>
    <t>Konec výstavby:</t>
  </si>
  <si>
    <t>Zpracováno dne:</t>
  </si>
  <si>
    <t>M.j.</t>
  </si>
  <si>
    <t>m2</t>
  </si>
  <si>
    <t>t</t>
  </si>
  <si>
    <t>m3</t>
  </si>
  <si>
    <t>m</t>
  </si>
  <si>
    <t>kg</t>
  </si>
  <si>
    <t>l</t>
  </si>
  <si>
    <t>bm</t>
  </si>
  <si>
    <t>kus</t>
  </si>
  <si>
    <t>hod</t>
  </si>
  <si>
    <t>soubor</t>
  </si>
  <si>
    <t>sada</t>
  </si>
  <si>
    <t>ks</t>
  </si>
  <si>
    <t>h</t>
  </si>
  <si>
    <t>kpl.</t>
  </si>
  <si>
    <t>Množství</t>
  </si>
  <si>
    <t>244 dní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</si>
  <si>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</si>
  <si>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</si>
  <si>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</si>
  <si>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</si>
  <si>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</si>
  <si>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</si>
  <si>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</si>
  <si>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</si>
  <si>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</si>
  <si>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</si>
  <si>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OÚ Domanín</t>
  </si>
  <si>
    <t>Ing. Nejezchleba František</t>
  </si>
  <si>
    <t>VÝBĚROVÉ ŘÍZENÍ</t>
  </si>
  <si>
    <t>Ing. Nejezchleba</t>
  </si>
  <si>
    <t>Celkem</t>
  </si>
  <si>
    <t>Hmotnost (t)</t>
  </si>
  <si>
    <t>0</t>
  </si>
  <si>
    <t>Přesuny</t>
  </si>
  <si>
    <t>Typ skupiny</t>
  </si>
  <si>
    <t>HS</t>
  </si>
  <si>
    <t>PS</t>
  </si>
  <si>
    <t>MP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</si>
  <si>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</si>
  <si>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</si>
  <si>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</si>
  <si>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</si>
  <si>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</si>
  <si>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</si>
  <si>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</si>
  <si>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</si>
  <si>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</si>
  <si>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T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</si>
  <si>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</si>
  <si>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</si>
  <si>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</si>
  <si>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</si>
  <si>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</si>
  <si>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</si>
  <si>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</si>
  <si>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</si>
  <si>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</si>
  <si>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</si>
  <si>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</si>
  <si>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</si>
  <si>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</si>
  <si>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</si>
  <si>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</si>
  <si>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</si>
  <si>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</si>
  <si>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</si>
  <si>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</si>
  <si>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</si>
  <si>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</si>
  <si>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</si>
  <si>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</si>
  <si>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</si>
  <si>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</si>
  <si>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</si>
  <si>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</si>
  <si>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</si>
  <si>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</si>
  <si>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</si>
  <si>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</si>
  <si>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</si>
  <si>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</si>
  <si>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</si>
  <si>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</si>
  <si>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</si>
  <si>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</si>
  <si>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</si>
  <si>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</si>
  <si>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130 50 192/311-521213110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</si>
</sst>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6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6" fillId="33" borderId="25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left" vertical="center"/>
      <protection/>
    </xf>
    <xf numFmtId="49" fontId="7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8" fillId="0" borderId="25" xfId="0" applyNumberFormat="1" applyFont="1" applyFill="1" applyBorder="1" applyAlignment="1" applyProtection="1">
      <alignment horizontal="left" vertical="center"/>
      <protection/>
    </xf>
    <xf numFmtId="0" fontId="8" fillId="0" borderId="25" xfId="0" applyNumberFormat="1" applyFont="1" applyFill="1" applyBorder="1" applyAlignment="1" applyProtection="1">
      <alignment horizontal="right" vertical="center"/>
      <protection/>
    </xf>
    <xf numFmtId="0" fontId="7" fillId="33" borderId="30" xfId="0" applyNumberFormat="1" applyFont="1" applyFill="1" applyBorder="1" applyAlignment="1" applyProtection="1">
      <alignment horizontal="righ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8" fillId="0" borderId="25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8" fillId="0" borderId="44" xfId="0" applyNumberFormat="1" applyFont="1" applyFill="1" applyBorder="1" applyAlignment="1" applyProtection="1">
      <alignment horizontal="left" vertical="center"/>
      <protection/>
    </xf>
    <xf numFmtId="0" fontId="8" fillId="0" borderId="35" xfId="0" applyNumberFormat="1" applyFont="1" applyFill="1" applyBorder="1" applyAlignment="1" applyProtection="1">
      <alignment horizontal="left" vertical="center"/>
      <protection/>
    </xf>
    <xf numFmtId="0" fontId="8" fillId="0" borderId="43" xfId="0" applyNumberFormat="1" applyFont="1" applyFill="1" applyBorder="1" applyAlignment="1" applyProtection="1">
      <alignment horizontal="left" vertical="center"/>
      <protection/>
    </xf>
    <xf numFmtId="49" fontId="8" fillId="0" borderId="45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42" xfId="0" applyNumberFormat="1" applyFont="1" applyFill="1" applyBorder="1" applyAlignment="1" applyProtection="1">
      <alignment horizontal="left" vertical="center"/>
      <protection/>
    </xf>
    <xf numFmtId="49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6" xfId="0" applyNumberFormat="1" applyFont="1" applyFill="1" applyBorder="1" applyAlignment="1" applyProtection="1">
      <alignment horizontal="left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0" fontId="7" fillId="0" borderId="30" xfId="0" applyNumberFormat="1" applyFont="1" applyFill="1" applyBorder="1" applyAlignment="1" applyProtection="1">
      <alignment horizontal="left" vertical="center"/>
      <protection/>
    </xf>
    <xf numFmtId="49" fontId="7" fillId="33" borderId="47" xfId="0" applyNumberFormat="1" applyFont="1" applyFill="1" applyBorder="1" applyAlignment="1" applyProtection="1">
      <alignment horizontal="left" vertical="center"/>
      <protection/>
    </xf>
    <xf numFmtId="0" fontId="7" fillId="33" borderId="28" xfId="0" applyNumberFormat="1" applyFont="1" applyFill="1" applyBorder="1" applyAlignment="1" applyProtection="1">
      <alignment horizontal="left" vertical="center"/>
      <protection/>
    </xf>
    <xf numFmtId="49" fontId="8" fillId="0" borderId="47" xfId="0" applyNumberFormat="1" applyFont="1" applyFill="1" applyBorder="1" applyAlignment="1" applyProtection="1">
      <alignment horizontal="left" vertical="center"/>
      <protection/>
    </xf>
    <xf numFmtId="0" fontId="8" fillId="0" borderId="30" xfId="0" applyNumberFormat="1" applyFont="1" applyFill="1" applyBorder="1" applyAlignment="1" applyProtection="1">
      <alignment horizontal="left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left" vertical="center"/>
      <protection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14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1" fillId="34" borderId="0" xfId="0" applyNumberFormat="1" applyFont="1" applyFill="1" applyBorder="1" applyAlignment="1" applyProtection="1">
      <alignment horizontal="left" vertical="center"/>
      <protection/>
    </xf>
    <xf numFmtId="49" fontId="1" fillId="34" borderId="1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91"/>
  <sheetViews>
    <sheetView tabSelected="1" zoomScalePageLayoutView="0" workbookViewId="0" topLeftCell="A148">
      <selection activeCell="AN166" sqref="AN166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12.75">
      <c r="A2" s="67" t="s">
        <v>1</v>
      </c>
      <c r="B2" s="56"/>
      <c r="C2" s="56"/>
      <c r="D2" s="46" t="s">
        <v>306</v>
      </c>
      <c r="E2" s="55" t="s">
        <v>485</v>
      </c>
      <c r="F2" s="56"/>
      <c r="G2" s="55" t="s">
        <v>505</v>
      </c>
      <c r="H2" s="56"/>
      <c r="I2" s="55" t="s">
        <v>511</v>
      </c>
      <c r="J2" s="55" t="s">
        <v>516</v>
      </c>
      <c r="K2" s="56"/>
      <c r="L2" s="57"/>
      <c r="M2" s="23"/>
    </row>
    <row r="3" spans="1:13" ht="12.75">
      <c r="A3" s="68"/>
      <c r="B3" s="58"/>
      <c r="C3" s="58"/>
      <c r="D3" s="64"/>
      <c r="E3" s="58"/>
      <c r="F3" s="58"/>
      <c r="G3" s="58"/>
      <c r="H3" s="58"/>
      <c r="I3" s="58"/>
      <c r="J3" s="58"/>
      <c r="K3" s="58"/>
      <c r="L3" s="59"/>
      <c r="M3" s="23"/>
    </row>
    <row r="4" spans="1:13" ht="12.75">
      <c r="A4" s="62" t="s">
        <v>2</v>
      </c>
      <c r="B4" s="58"/>
      <c r="C4" s="58"/>
      <c r="D4" s="53" t="s">
        <v>307</v>
      </c>
      <c r="E4" s="53" t="s">
        <v>486</v>
      </c>
      <c r="F4" s="58"/>
      <c r="G4" s="61">
        <v>41396</v>
      </c>
      <c r="H4" s="58"/>
      <c r="I4" s="53" t="s">
        <v>512</v>
      </c>
      <c r="J4" s="53" t="s">
        <v>517</v>
      </c>
      <c r="K4" s="58"/>
      <c r="L4" s="59"/>
      <c r="M4" s="23"/>
    </row>
    <row r="5" spans="1:13" ht="12.75">
      <c r="A5" s="68"/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  <c r="M5" s="23"/>
    </row>
    <row r="6" spans="1:13" ht="12.75">
      <c r="A6" s="62" t="s">
        <v>3</v>
      </c>
      <c r="B6" s="58"/>
      <c r="C6" s="58"/>
      <c r="D6" s="53" t="s">
        <v>308</v>
      </c>
      <c r="E6" s="53" t="s">
        <v>487</v>
      </c>
      <c r="F6" s="58"/>
      <c r="G6" s="61">
        <v>41639</v>
      </c>
      <c r="H6" s="58"/>
      <c r="I6" s="53" t="s">
        <v>513</v>
      </c>
      <c r="J6" s="53" t="s">
        <v>518</v>
      </c>
      <c r="K6" s="58"/>
      <c r="L6" s="59"/>
      <c r="M6" s="23"/>
    </row>
    <row r="7" spans="1:13" ht="12.75">
      <c r="A7" s="68"/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  <c r="M7" s="23"/>
    </row>
    <row r="8" spans="1:13" ht="12.75">
      <c r="A8" s="62" t="s">
        <v>4</v>
      </c>
      <c r="B8" s="58"/>
      <c r="C8" s="58"/>
      <c r="D8" s="53" t="s">
        <v>309</v>
      </c>
      <c r="E8" s="53" t="s">
        <v>488</v>
      </c>
      <c r="F8" s="58"/>
      <c r="G8" s="61">
        <v>41306</v>
      </c>
      <c r="H8" s="58"/>
      <c r="I8" s="53" t="s">
        <v>514</v>
      </c>
      <c r="J8" s="53" t="s">
        <v>519</v>
      </c>
      <c r="K8" s="58"/>
      <c r="L8" s="59"/>
      <c r="M8" s="23"/>
    </row>
    <row r="9" spans="1:13" ht="12.75">
      <c r="A9" s="63"/>
      <c r="B9" s="54"/>
      <c r="C9" s="54"/>
      <c r="D9" s="54"/>
      <c r="E9" s="54"/>
      <c r="F9" s="54"/>
      <c r="G9" s="54"/>
      <c r="H9" s="54"/>
      <c r="I9" s="54"/>
      <c r="J9" s="54"/>
      <c r="K9" s="54"/>
      <c r="L9" s="60"/>
      <c r="M9" s="23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506</v>
      </c>
      <c r="H10" s="48" t="s">
        <v>508</v>
      </c>
      <c r="I10" s="49"/>
      <c r="J10" s="50"/>
      <c r="K10" s="48" t="s">
        <v>521</v>
      </c>
      <c r="L10" s="50"/>
      <c r="M10" s="24"/>
    </row>
    <row r="11" spans="1:24" ht="12.75">
      <c r="A11" s="2" t="s">
        <v>6</v>
      </c>
      <c r="B11" s="9" t="s">
        <v>154</v>
      </c>
      <c r="C11" s="9" t="s">
        <v>159</v>
      </c>
      <c r="D11" s="9" t="s">
        <v>310</v>
      </c>
      <c r="E11" s="9" t="s">
        <v>489</v>
      </c>
      <c r="F11" s="12" t="s">
        <v>504</v>
      </c>
      <c r="G11" s="16" t="s">
        <v>507</v>
      </c>
      <c r="H11" s="18" t="s">
        <v>509</v>
      </c>
      <c r="I11" s="19" t="s">
        <v>515</v>
      </c>
      <c r="J11" s="20" t="s">
        <v>520</v>
      </c>
      <c r="K11" s="18" t="s">
        <v>506</v>
      </c>
      <c r="L11" s="20" t="s">
        <v>520</v>
      </c>
      <c r="M11" s="24"/>
      <c r="P11" s="22" t="s">
        <v>523</v>
      </c>
      <c r="Q11" s="22" t="s">
        <v>524</v>
      </c>
      <c r="R11" s="22" t="s">
        <v>530</v>
      </c>
      <c r="S11" s="22" t="s">
        <v>531</v>
      </c>
      <c r="T11" s="22" t="s">
        <v>532</v>
      </c>
      <c r="U11" s="22" t="s">
        <v>533</v>
      </c>
      <c r="V11" s="22" t="s">
        <v>534</v>
      </c>
      <c r="W11" s="22" t="s">
        <v>535</v>
      </c>
      <c r="X11" s="22" t="s">
        <v>536</v>
      </c>
    </row>
    <row r="12" spans="1:12" ht="12.75">
      <c r="A12" s="3"/>
      <c r="B12" s="3"/>
      <c r="C12" s="10"/>
      <c r="D12" s="51" t="s">
        <v>311</v>
      </c>
      <c r="E12" s="52"/>
      <c r="F12" s="52"/>
      <c r="G12" s="52"/>
      <c r="H12" s="26">
        <f>H13+H15+H23+H31</f>
        <v>0</v>
      </c>
      <c r="I12" s="26">
        <f>I13+I15+I23+I31</f>
        <v>0</v>
      </c>
      <c r="J12" s="26">
        <f>H12+I12</f>
        <v>0</v>
      </c>
      <c r="K12" s="21"/>
      <c r="L12" s="26">
        <f>L13+L15+L23+L31</f>
        <v>36.031406</v>
      </c>
    </row>
    <row r="13" spans="1:37" ht="12.75">
      <c r="A13" s="4"/>
      <c r="B13" s="4"/>
      <c r="C13" s="11" t="s">
        <v>160</v>
      </c>
      <c r="D13" s="44" t="s">
        <v>312</v>
      </c>
      <c r="E13" s="45"/>
      <c r="F13" s="45"/>
      <c r="G13" s="45"/>
      <c r="H13" s="27">
        <f>SUM(H14:H14)</f>
        <v>0</v>
      </c>
      <c r="I13" s="27">
        <f>SUM(I14:I14)</f>
        <v>0</v>
      </c>
      <c r="J13" s="27">
        <f>H13+I13</f>
        <v>0</v>
      </c>
      <c r="K13" s="22"/>
      <c r="L13" s="27">
        <f>SUM(L14:L14)</f>
        <v>0.6671699999999999</v>
      </c>
      <c r="P13" s="27">
        <f>IF(Q13="PR",J13,SUM(O14:O14))</f>
        <v>0</v>
      </c>
      <c r="Q13" s="22" t="s">
        <v>525</v>
      </c>
      <c r="R13" s="27">
        <f>IF(Q13="HS",H13,0)</f>
        <v>0</v>
      </c>
      <c r="S13" s="27">
        <f>IF(Q13="HS",I13-P13,0)</f>
        <v>0</v>
      </c>
      <c r="T13" s="27">
        <f>IF(Q13="PS",H13,0)</f>
        <v>0</v>
      </c>
      <c r="U13" s="27">
        <f>IF(Q13="PS",I13-P13,0)</f>
        <v>0</v>
      </c>
      <c r="V13" s="27">
        <f>IF(Q13="MP",H13,0)</f>
        <v>0</v>
      </c>
      <c r="W13" s="27">
        <f>IF(Q13="MP",I13-P13,0)</f>
        <v>0</v>
      </c>
      <c r="X13" s="27">
        <f>IF(Q13="OM",H13,0)</f>
        <v>0</v>
      </c>
      <c r="Y13" s="22" t="s">
        <v>155</v>
      </c>
      <c r="AI13" s="27">
        <f>SUM(Z14:Z14)</f>
        <v>0</v>
      </c>
      <c r="AJ13" s="27">
        <f>SUM(AA14:AA14)</f>
        <v>0</v>
      </c>
      <c r="AK13" s="27">
        <f>SUM(AB14:AB14)</f>
        <v>0</v>
      </c>
    </row>
    <row r="14" spans="1:32" ht="12.75">
      <c r="A14" s="5" t="s">
        <v>7</v>
      </c>
      <c r="B14" s="5" t="s">
        <v>155</v>
      </c>
      <c r="C14" s="104" t="s">
        <v>161</v>
      </c>
      <c r="D14" s="5" t="s">
        <v>313</v>
      </c>
      <c r="E14" s="5" t="s">
        <v>490</v>
      </c>
      <c r="F14" s="13">
        <v>317.7</v>
      </c>
      <c r="H14" s="13">
        <f>ROUND(F14*AE14,2)</f>
        <v>0</v>
      </c>
      <c r="I14" s="13">
        <f>J14-H14</f>
        <v>0</v>
      </c>
      <c r="J14" s="13">
        <f>ROUND(F14*G14,2)</f>
        <v>0</v>
      </c>
      <c r="K14" s="13">
        <v>0.0021</v>
      </c>
      <c r="L14" s="13">
        <f>F14*K14</f>
        <v>0.6671699999999999</v>
      </c>
      <c r="N14" s="25" t="s">
        <v>9</v>
      </c>
      <c r="O14" s="13">
        <f>IF(N14="5",I14,0)</f>
        <v>0</v>
      </c>
      <c r="Z14" s="13">
        <f>IF(AD14=0,J14,0)</f>
        <v>0</v>
      </c>
      <c r="AA14" s="13">
        <f>IF(AD14=15,J14,0)</f>
        <v>0</v>
      </c>
      <c r="AB14" s="13">
        <f>IF(AD14=21,J14,0)</f>
        <v>0</v>
      </c>
      <c r="AD14" s="13">
        <v>21</v>
      </c>
      <c r="AE14" s="13">
        <f>G14*0.882843021887503</f>
        <v>0</v>
      </c>
      <c r="AF14" s="13">
        <f>G14*(1-0.882843021887503)</f>
        <v>0</v>
      </c>
    </row>
    <row r="15" spans="1:37" ht="12.75">
      <c r="A15" s="4"/>
      <c r="B15" s="4"/>
      <c r="C15" s="11" t="s">
        <v>162</v>
      </c>
      <c r="D15" s="44" t="s">
        <v>314</v>
      </c>
      <c r="E15" s="45"/>
      <c r="F15" s="45"/>
      <c r="G15" s="45"/>
      <c r="H15" s="27">
        <f>SUM(H16:H22)</f>
        <v>0</v>
      </c>
      <c r="I15" s="27">
        <f>SUM(I16:I22)</f>
        <v>0</v>
      </c>
      <c r="J15" s="27">
        <f>H15+I15</f>
        <v>0</v>
      </c>
      <c r="K15" s="22"/>
      <c r="L15" s="27">
        <f>SUM(L16:L22)</f>
        <v>24.670237</v>
      </c>
      <c r="P15" s="27">
        <f>IF(Q15="PR",J15,SUM(O16:O22))</f>
        <v>0</v>
      </c>
      <c r="Q15" s="22" t="s">
        <v>525</v>
      </c>
      <c r="R15" s="27">
        <f>IF(Q15="HS",H15,0)</f>
        <v>0</v>
      </c>
      <c r="S15" s="27">
        <f>IF(Q15="HS",I15-P15,0)</f>
        <v>0</v>
      </c>
      <c r="T15" s="27">
        <f>IF(Q15="PS",H15,0)</f>
        <v>0</v>
      </c>
      <c r="U15" s="27">
        <f>IF(Q15="PS",I15-P15,0)</f>
        <v>0</v>
      </c>
      <c r="V15" s="27">
        <f>IF(Q15="MP",H15,0)</f>
        <v>0</v>
      </c>
      <c r="W15" s="27">
        <f>IF(Q15="MP",I15-P15,0)</f>
        <v>0</v>
      </c>
      <c r="X15" s="27">
        <f>IF(Q15="OM",H15,0)</f>
        <v>0</v>
      </c>
      <c r="Y15" s="22" t="s">
        <v>155</v>
      </c>
      <c r="AI15" s="27">
        <f>SUM(Z16:Z22)</f>
        <v>0</v>
      </c>
      <c r="AJ15" s="27">
        <f>SUM(AA16:AA22)</f>
        <v>0</v>
      </c>
      <c r="AK15" s="27">
        <f>SUM(AB16:AB22)</f>
        <v>0</v>
      </c>
    </row>
    <row r="16" spans="1:32" ht="12.75">
      <c r="A16" s="5" t="s">
        <v>8</v>
      </c>
      <c r="B16" s="5" t="s">
        <v>155</v>
      </c>
      <c r="C16" s="104" t="s">
        <v>161</v>
      </c>
      <c r="D16" s="5" t="s">
        <v>315</v>
      </c>
      <c r="E16" s="5" t="s">
        <v>490</v>
      </c>
      <c r="F16" s="13">
        <v>316.8</v>
      </c>
      <c r="H16" s="13">
        <f aca="true" t="shared" si="0" ref="H16:H22">ROUND(F16*AE16,2)</f>
        <v>0</v>
      </c>
      <c r="I16" s="13">
        <f aca="true" t="shared" si="1" ref="I16:I22">J16-H16</f>
        <v>0</v>
      </c>
      <c r="J16" s="13">
        <f aca="true" t="shared" si="2" ref="J16:J22">ROUND(F16*G16,2)</f>
        <v>0</v>
      </c>
      <c r="K16" s="13">
        <v>0.0021</v>
      </c>
      <c r="L16" s="13">
        <f aca="true" t="shared" si="3" ref="L16:L22">F16*K16</f>
        <v>0.66528</v>
      </c>
      <c r="N16" s="25" t="s">
        <v>9</v>
      </c>
      <c r="O16" s="13">
        <f aca="true" t="shared" si="4" ref="O16:O22">IF(N16="5",I16,0)</f>
        <v>0</v>
      </c>
      <c r="Z16" s="13">
        <f aca="true" t="shared" si="5" ref="Z16:Z22">IF(AD16=0,J16,0)</f>
        <v>0</v>
      </c>
      <c r="AA16" s="13">
        <f aca="true" t="shared" si="6" ref="AA16:AA22">IF(AD16=15,J16,0)</f>
        <v>0</v>
      </c>
      <c r="AB16" s="13">
        <f aca="true" t="shared" si="7" ref="AB16:AB22">IF(AD16=21,J16,0)</f>
        <v>0</v>
      </c>
      <c r="AD16" s="13">
        <v>21</v>
      </c>
      <c r="AE16" s="13">
        <f>G16*0.882843021887503</f>
        <v>0</v>
      </c>
      <c r="AF16" s="13">
        <f>G16*(1-0.882843021887503)</f>
        <v>0</v>
      </c>
    </row>
    <row r="17" spans="1:32" ht="12.75">
      <c r="A17" s="5" t="s">
        <v>9</v>
      </c>
      <c r="B17" s="5" t="s">
        <v>155</v>
      </c>
      <c r="C17" s="104" t="s">
        <v>163</v>
      </c>
      <c r="D17" s="5" t="s">
        <v>316</v>
      </c>
      <c r="E17" s="5" t="s">
        <v>491</v>
      </c>
      <c r="F17" s="13">
        <v>24.8</v>
      </c>
      <c r="H17" s="13">
        <f t="shared" si="0"/>
        <v>0</v>
      </c>
      <c r="I17" s="13">
        <f t="shared" si="1"/>
        <v>0</v>
      </c>
      <c r="J17" s="13">
        <f t="shared" si="2"/>
        <v>0</v>
      </c>
      <c r="K17" s="13">
        <v>0</v>
      </c>
      <c r="L17" s="13">
        <f t="shared" si="3"/>
        <v>0</v>
      </c>
      <c r="N17" s="25" t="s">
        <v>11</v>
      </c>
      <c r="O17" s="13">
        <f t="shared" si="4"/>
        <v>0</v>
      </c>
      <c r="Z17" s="13">
        <f t="shared" si="5"/>
        <v>0</v>
      </c>
      <c r="AA17" s="13">
        <f t="shared" si="6"/>
        <v>0</v>
      </c>
      <c r="AB17" s="13">
        <f t="shared" si="7"/>
        <v>0</v>
      </c>
      <c r="AD17" s="13">
        <v>21</v>
      </c>
      <c r="AE17" s="13">
        <f>G17*0</f>
        <v>0</v>
      </c>
      <c r="AF17" s="13">
        <f>G17*(1-0)</f>
        <v>0</v>
      </c>
    </row>
    <row r="18" spans="1:32" ht="12.75">
      <c r="A18" s="5" t="s">
        <v>10</v>
      </c>
      <c r="B18" s="5" t="s">
        <v>155</v>
      </c>
      <c r="C18" s="104" t="s">
        <v>164</v>
      </c>
      <c r="D18" s="5" t="s">
        <v>317</v>
      </c>
      <c r="E18" s="5" t="s">
        <v>490</v>
      </c>
      <c r="F18" s="13">
        <v>262.7</v>
      </c>
      <c r="H18" s="13">
        <f t="shared" si="0"/>
        <v>0</v>
      </c>
      <c r="I18" s="13">
        <f t="shared" si="1"/>
        <v>0</v>
      </c>
      <c r="J18" s="13">
        <f t="shared" si="2"/>
        <v>0</v>
      </c>
      <c r="K18" s="13">
        <v>0.04335</v>
      </c>
      <c r="L18" s="13">
        <f t="shared" si="3"/>
        <v>11.388045</v>
      </c>
      <c r="N18" s="25" t="s">
        <v>7</v>
      </c>
      <c r="O18" s="13">
        <f t="shared" si="4"/>
        <v>0</v>
      </c>
      <c r="Z18" s="13">
        <f t="shared" si="5"/>
        <v>0</v>
      </c>
      <c r="AA18" s="13">
        <f t="shared" si="6"/>
        <v>0</v>
      </c>
      <c r="AB18" s="13">
        <f t="shared" si="7"/>
        <v>0</v>
      </c>
      <c r="AD18" s="13">
        <v>21</v>
      </c>
      <c r="AE18" s="13">
        <f>G18*0.703602227811714</f>
        <v>0</v>
      </c>
      <c r="AF18" s="13">
        <f>G18*(1-0.703602227811714)</f>
        <v>0</v>
      </c>
    </row>
    <row r="19" spans="1:32" ht="12.75">
      <c r="A19" s="5" t="s">
        <v>11</v>
      </c>
      <c r="B19" s="5" t="s">
        <v>155</v>
      </c>
      <c r="C19" s="104" t="s">
        <v>165</v>
      </c>
      <c r="D19" s="5" t="s">
        <v>318</v>
      </c>
      <c r="E19" s="5" t="s">
        <v>490</v>
      </c>
      <c r="F19" s="13">
        <v>316.8</v>
      </c>
      <c r="H19" s="13">
        <f t="shared" si="0"/>
        <v>0</v>
      </c>
      <c r="I19" s="13">
        <f t="shared" si="1"/>
        <v>0</v>
      </c>
      <c r="J19" s="13">
        <f t="shared" si="2"/>
        <v>0</v>
      </c>
      <c r="K19" s="13">
        <v>0.02963</v>
      </c>
      <c r="L19" s="13">
        <f t="shared" si="3"/>
        <v>9.386784</v>
      </c>
      <c r="N19" s="25" t="s">
        <v>9</v>
      </c>
      <c r="O19" s="13">
        <f t="shared" si="4"/>
        <v>0</v>
      </c>
      <c r="Z19" s="13">
        <f t="shared" si="5"/>
        <v>0</v>
      </c>
      <c r="AA19" s="13">
        <f t="shared" si="6"/>
        <v>0</v>
      </c>
      <c r="AB19" s="13">
        <f t="shared" si="7"/>
        <v>0</v>
      </c>
      <c r="AD19" s="13">
        <v>21</v>
      </c>
      <c r="AE19" s="13">
        <f>G19*0.69103341116323</f>
        <v>0</v>
      </c>
      <c r="AF19" s="13">
        <f>G19*(1-0.69103341116323)</f>
        <v>0</v>
      </c>
    </row>
    <row r="20" spans="1:32" ht="12.75">
      <c r="A20" s="5" t="s">
        <v>12</v>
      </c>
      <c r="B20" s="5" t="s">
        <v>155</v>
      </c>
      <c r="C20" s="104" t="s">
        <v>161</v>
      </c>
      <c r="D20" s="5" t="s">
        <v>319</v>
      </c>
      <c r="E20" s="5" t="s">
        <v>490</v>
      </c>
      <c r="F20" s="13">
        <v>19.5</v>
      </c>
      <c r="H20" s="13">
        <f t="shared" si="0"/>
        <v>0</v>
      </c>
      <c r="I20" s="13">
        <f t="shared" si="1"/>
        <v>0</v>
      </c>
      <c r="J20" s="13">
        <f t="shared" si="2"/>
        <v>0</v>
      </c>
      <c r="K20" s="13">
        <v>0.0021</v>
      </c>
      <c r="L20" s="13">
        <f t="shared" si="3"/>
        <v>0.04095</v>
      </c>
      <c r="N20" s="25" t="s">
        <v>9</v>
      </c>
      <c r="O20" s="13">
        <f t="shared" si="4"/>
        <v>0</v>
      </c>
      <c r="Z20" s="13">
        <f t="shared" si="5"/>
        <v>0</v>
      </c>
      <c r="AA20" s="13">
        <f t="shared" si="6"/>
        <v>0</v>
      </c>
      <c r="AB20" s="13">
        <f t="shared" si="7"/>
        <v>0</v>
      </c>
      <c r="AD20" s="13">
        <v>21</v>
      </c>
      <c r="AE20" s="13">
        <f>G20*0.882843021887503</f>
        <v>0</v>
      </c>
      <c r="AF20" s="13">
        <f>G20*(1-0.882843021887503)</f>
        <v>0</v>
      </c>
    </row>
    <row r="21" spans="1:32" ht="12.75">
      <c r="A21" s="5" t="s">
        <v>13</v>
      </c>
      <c r="B21" s="5" t="s">
        <v>155</v>
      </c>
      <c r="C21" s="104" t="s">
        <v>166</v>
      </c>
      <c r="D21" s="5" t="s">
        <v>320</v>
      </c>
      <c r="E21" s="5" t="s">
        <v>490</v>
      </c>
      <c r="F21" s="13">
        <v>262.7</v>
      </c>
      <c r="H21" s="13">
        <f t="shared" si="0"/>
        <v>0</v>
      </c>
      <c r="I21" s="13">
        <f t="shared" si="1"/>
        <v>0</v>
      </c>
      <c r="J21" s="13">
        <f t="shared" si="2"/>
        <v>0</v>
      </c>
      <c r="K21" s="13">
        <v>0.00014</v>
      </c>
      <c r="L21" s="13">
        <f t="shared" si="3"/>
        <v>0.036778</v>
      </c>
      <c r="N21" s="25" t="s">
        <v>522</v>
      </c>
      <c r="O21" s="13">
        <f t="shared" si="4"/>
        <v>0</v>
      </c>
      <c r="Z21" s="13">
        <f t="shared" si="5"/>
        <v>0</v>
      </c>
      <c r="AA21" s="13">
        <f t="shared" si="6"/>
        <v>0</v>
      </c>
      <c r="AB21" s="13">
        <f t="shared" si="7"/>
        <v>0</v>
      </c>
      <c r="AD21" s="13">
        <v>21</v>
      </c>
      <c r="AE21" s="13">
        <f>G21*1</f>
        <v>0</v>
      </c>
      <c r="AF21" s="13">
        <f>G21*(1-1)</f>
        <v>0</v>
      </c>
    </row>
    <row r="22" spans="1:32" ht="12.75">
      <c r="A22" s="5" t="s">
        <v>14</v>
      </c>
      <c r="B22" s="5" t="s">
        <v>155</v>
      </c>
      <c r="C22" s="104" t="s">
        <v>167</v>
      </c>
      <c r="D22" s="5" t="s">
        <v>321</v>
      </c>
      <c r="E22" s="5" t="s">
        <v>490</v>
      </c>
      <c r="F22" s="13">
        <v>525.4</v>
      </c>
      <c r="H22" s="13">
        <f t="shared" si="0"/>
        <v>0</v>
      </c>
      <c r="I22" s="13">
        <f t="shared" si="1"/>
        <v>0</v>
      </c>
      <c r="J22" s="13">
        <f t="shared" si="2"/>
        <v>0</v>
      </c>
      <c r="K22" s="13">
        <v>0.006</v>
      </c>
      <c r="L22" s="13">
        <f t="shared" si="3"/>
        <v>3.1524</v>
      </c>
      <c r="N22" s="25" t="s">
        <v>522</v>
      </c>
      <c r="O22" s="13">
        <f t="shared" si="4"/>
        <v>0</v>
      </c>
      <c r="Z22" s="13">
        <f t="shared" si="5"/>
        <v>0</v>
      </c>
      <c r="AA22" s="13">
        <f t="shared" si="6"/>
        <v>0</v>
      </c>
      <c r="AB22" s="13">
        <f t="shared" si="7"/>
        <v>0</v>
      </c>
      <c r="AD22" s="13">
        <v>21</v>
      </c>
      <c r="AE22" s="13">
        <f>G22*1</f>
        <v>0</v>
      </c>
      <c r="AF22" s="13">
        <f>G22*(1-1)</f>
        <v>0</v>
      </c>
    </row>
    <row r="23" spans="1:37" ht="12.75">
      <c r="A23" s="4"/>
      <c r="B23" s="4"/>
      <c r="C23" s="11" t="s">
        <v>68</v>
      </c>
      <c r="D23" s="44" t="s">
        <v>322</v>
      </c>
      <c r="E23" s="45"/>
      <c r="F23" s="45"/>
      <c r="G23" s="45"/>
      <c r="H23" s="27">
        <f>SUM(H24:H30)</f>
        <v>0</v>
      </c>
      <c r="I23" s="27">
        <f>SUM(I24:I30)</f>
        <v>0</v>
      </c>
      <c r="J23" s="27">
        <f>H23+I23</f>
        <v>0</v>
      </c>
      <c r="K23" s="22"/>
      <c r="L23" s="27">
        <f>SUM(L24:L30)</f>
        <v>10.607074</v>
      </c>
      <c r="P23" s="27">
        <f>IF(Q23="PR",J23,SUM(O24:O30))</f>
        <v>0</v>
      </c>
      <c r="Q23" s="22" t="s">
        <v>525</v>
      </c>
      <c r="R23" s="27">
        <f>IF(Q23="HS",H23,0)</f>
        <v>0</v>
      </c>
      <c r="S23" s="27">
        <f>IF(Q23="HS",I23-P23,0)</f>
        <v>0</v>
      </c>
      <c r="T23" s="27">
        <f>IF(Q23="PS",H23,0)</f>
        <v>0</v>
      </c>
      <c r="U23" s="27">
        <f>IF(Q23="PS",I23-P23,0)</f>
        <v>0</v>
      </c>
      <c r="V23" s="27">
        <f>IF(Q23="MP",H23,0)</f>
        <v>0</v>
      </c>
      <c r="W23" s="27">
        <f>IF(Q23="MP",I23-P23,0)</f>
        <v>0</v>
      </c>
      <c r="X23" s="27">
        <f>IF(Q23="OM",H23,0)</f>
        <v>0</v>
      </c>
      <c r="Y23" s="22" t="s">
        <v>155</v>
      </c>
      <c r="AI23" s="27">
        <f>SUM(Z24:Z30)</f>
        <v>0</v>
      </c>
      <c r="AJ23" s="27">
        <f>SUM(AA24:AA30)</f>
        <v>0</v>
      </c>
      <c r="AK23" s="27">
        <f>SUM(AB24:AB30)</f>
        <v>0</v>
      </c>
    </row>
    <row r="24" spans="1:32" ht="12.75">
      <c r="A24" s="5" t="s">
        <v>15</v>
      </c>
      <c r="B24" s="5" t="s">
        <v>155</v>
      </c>
      <c r="C24" s="104" t="s">
        <v>164</v>
      </c>
      <c r="D24" s="5" t="s">
        <v>323</v>
      </c>
      <c r="E24" s="5" t="s">
        <v>490</v>
      </c>
      <c r="F24" s="13">
        <v>20</v>
      </c>
      <c r="H24" s="13">
        <f aca="true" t="shared" si="8" ref="H24:H30">ROUND(F24*AE24,2)</f>
        <v>0</v>
      </c>
      <c r="I24" s="13">
        <f aca="true" t="shared" si="9" ref="I24:I30">J24-H24</f>
        <v>0</v>
      </c>
      <c r="J24" s="13">
        <f aca="true" t="shared" si="10" ref="J24:J30">ROUND(F24*G24,2)</f>
        <v>0</v>
      </c>
      <c r="K24" s="13">
        <v>0.04335</v>
      </c>
      <c r="L24" s="13">
        <f aca="true" t="shared" si="11" ref="L24:L30">F24*K24</f>
        <v>0.867</v>
      </c>
      <c r="N24" s="25" t="s">
        <v>7</v>
      </c>
      <c r="O24" s="13">
        <f aca="true" t="shared" si="12" ref="O24:O30">IF(N24="5",I24,0)</f>
        <v>0</v>
      </c>
      <c r="Z24" s="13">
        <f aca="true" t="shared" si="13" ref="Z24:Z30">IF(AD24=0,J24,0)</f>
        <v>0</v>
      </c>
      <c r="AA24" s="13">
        <f aca="true" t="shared" si="14" ref="AA24:AA30">IF(AD24=15,J24,0)</f>
        <v>0</v>
      </c>
      <c r="AB24" s="13">
        <f aca="true" t="shared" si="15" ref="AB24:AB30">IF(AD24=21,J24,0)</f>
        <v>0</v>
      </c>
      <c r="AD24" s="13">
        <v>21</v>
      </c>
      <c r="AE24" s="13">
        <f>G24*0.703602227811714</f>
        <v>0</v>
      </c>
      <c r="AF24" s="13">
        <f>G24*(1-0.703602227811714)</f>
        <v>0</v>
      </c>
    </row>
    <row r="25" spans="1:32" ht="12.75">
      <c r="A25" s="5" t="s">
        <v>16</v>
      </c>
      <c r="B25" s="5" t="s">
        <v>155</v>
      </c>
      <c r="C25" s="104" t="s">
        <v>168</v>
      </c>
      <c r="D25" s="5" t="s">
        <v>324</v>
      </c>
      <c r="E25" s="5" t="s">
        <v>490</v>
      </c>
      <c r="F25" s="13">
        <v>516.5</v>
      </c>
      <c r="H25" s="13">
        <f t="shared" si="8"/>
        <v>0</v>
      </c>
      <c r="I25" s="13">
        <f t="shared" si="9"/>
        <v>0</v>
      </c>
      <c r="J25" s="13">
        <f t="shared" si="10"/>
        <v>0</v>
      </c>
      <c r="K25" s="13">
        <v>0.0129</v>
      </c>
      <c r="L25" s="13">
        <f t="shared" si="11"/>
        <v>6.66285</v>
      </c>
      <c r="N25" s="25" t="s">
        <v>7</v>
      </c>
      <c r="O25" s="13">
        <f t="shared" si="12"/>
        <v>0</v>
      </c>
      <c r="Z25" s="13">
        <f t="shared" si="13"/>
        <v>0</v>
      </c>
      <c r="AA25" s="13">
        <f t="shared" si="14"/>
        <v>0</v>
      </c>
      <c r="AB25" s="13">
        <f t="shared" si="15"/>
        <v>0</v>
      </c>
      <c r="AD25" s="13">
        <v>21</v>
      </c>
      <c r="AE25" s="13">
        <f>G25*0.467599236166823</f>
        <v>0</v>
      </c>
      <c r="AF25" s="13">
        <f>G25*(1-0.467599236166823)</f>
        <v>0</v>
      </c>
    </row>
    <row r="26" spans="1:32" ht="12.75">
      <c r="A26" s="5" t="s">
        <v>17</v>
      </c>
      <c r="B26" s="5" t="s">
        <v>155</v>
      </c>
      <c r="C26" s="104" t="s">
        <v>169</v>
      </c>
      <c r="D26" s="5" t="s">
        <v>325</v>
      </c>
      <c r="E26" s="5" t="s">
        <v>490</v>
      </c>
      <c r="F26" s="13">
        <v>62.2</v>
      </c>
      <c r="H26" s="13">
        <f t="shared" si="8"/>
        <v>0</v>
      </c>
      <c r="I26" s="13">
        <f t="shared" si="9"/>
        <v>0</v>
      </c>
      <c r="J26" s="13">
        <f t="shared" si="10"/>
        <v>0</v>
      </c>
      <c r="K26" s="13">
        <v>0.01888</v>
      </c>
      <c r="L26" s="13">
        <f t="shared" si="11"/>
        <v>1.174336</v>
      </c>
      <c r="N26" s="25" t="s">
        <v>7</v>
      </c>
      <c r="O26" s="13">
        <f t="shared" si="12"/>
        <v>0</v>
      </c>
      <c r="Z26" s="13">
        <f t="shared" si="13"/>
        <v>0</v>
      </c>
      <c r="AA26" s="13">
        <f t="shared" si="14"/>
        <v>0</v>
      </c>
      <c r="AB26" s="13">
        <f t="shared" si="15"/>
        <v>0</v>
      </c>
      <c r="AD26" s="13">
        <v>21</v>
      </c>
      <c r="AE26" s="13">
        <f>G26*0.735303461905044</f>
        <v>0</v>
      </c>
      <c r="AF26" s="13">
        <f>G26*(1-0.735303461905044)</f>
        <v>0</v>
      </c>
    </row>
    <row r="27" spans="1:32" ht="12.75">
      <c r="A27" s="5" t="s">
        <v>18</v>
      </c>
      <c r="B27" s="5" t="s">
        <v>155</v>
      </c>
      <c r="C27" s="104" t="s">
        <v>170</v>
      </c>
      <c r="D27" s="5" t="s">
        <v>326</v>
      </c>
      <c r="E27" s="5" t="s">
        <v>490</v>
      </c>
      <c r="F27" s="13">
        <v>85.6</v>
      </c>
      <c r="H27" s="13">
        <f t="shared" si="8"/>
        <v>0</v>
      </c>
      <c r="I27" s="13">
        <f t="shared" si="9"/>
        <v>0</v>
      </c>
      <c r="J27" s="13">
        <f t="shared" si="10"/>
        <v>0</v>
      </c>
      <c r="K27" s="13">
        <v>0.02223</v>
      </c>
      <c r="L27" s="13">
        <f t="shared" si="11"/>
        <v>1.902888</v>
      </c>
      <c r="N27" s="25" t="s">
        <v>7</v>
      </c>
      <c r="O27" s="13">
        <f t="shared" si="12"/>
        <v>0</v>
      </c>
      <c r="Z27" s="13">
        <f t="shared" si="13"/>
        <v>0</v>
      </c>
      <c r="AA27" s="13">
        <f t="shared" si="14"/>
        <v>0</v>
      </c>
      <c r="AB27" s="13">
        <f t="shared" si="15"/>
        <v>0</v>
      </c>
      <c r="AD27" s="13">
        <v>21</v>
      </c>
      <c r="AE27" s="13">
        <f>G27*0.612978297342642</f>
        <v>0</v>
      </c>
      <c r="AF27" s="13">
        <f>G27*(1-0.612978297342642)</f>
        <v>0</v>
      </c>
    </row>
    <row r="28" spans="1:32" ht="12.75">
      <c r="A28" s="5" t="s">
        <v>19</v>
      </c>
      <c r="B28" s="5" t="s">
        <v>155</v>
      </c>
      <c r="C28" s="104" t="s">
        <v>171</v>
      </c>
      <c r="D28" s="5" t="s">
        <v>327</v>
      </c>
      <c r="E28" s="5" t="s">
        <v>490</v>
      </c>
      <c r="F28" s="13">
        <v>140</v>
      </c>
      <c r="H28" s="13">
        <f t="shared" si="8"/>
        <v>0</v>
      </c>
      <c r="I28" s="13">
        <f t="shared" si="9"/>
        <v>0</v>
      </c>
      <c r="J28" s="13">
        <f t="shared" si="10"/>
        <v>0</v>
      </c>
      <c r="K28" s="13">
        <v>0</v>
      </c>
      <c r="L28" s="13">
        <f t="shared" si="11"/>
        <v>0</v>
      </c>
      <c r="N28" s="25" t="s">
        <v>7</v>
      </c>
      <c r="O28" s="13">
        <f t="shared" si="12"/>
        <v>0</v>
      </c>
      <c r="Z28" s="13">
        <f t="shared" si="13"/>
        <v>0</v>
      </c>
      <c r="AA28" s="13">
        <f t="shared" si="14"/>
        <v>0</v>
      </c>
      <c r="AB28" s="13">
        <f t="shared" si="15"/>
        <v>0</v>
      </c>
      <c r="AD28" s="13">
        <v>21</v>
      </c>
      <c r="AE28" s="13">
        <f>G28*0</f>
        <v>0</v>
      </c>
      <c r="AF28" s="13">
        <f>G28*(1-0)</f>
        <v>0</v>
      </c>
    </row>
    <row r="29" spans="1:32" ht="12.75">
      <c r="A29" s="5" t="s">
        <v>20</v>
      </c>
      <c r="B29" s="5" t="s">
        <v>155</v>
      </c>
      <c r="C29" s="104" t="s">
        <v>172</v>
      </c>
      <c r="D29" s="5" t="s">
        <v>328</v>
      </c>
      <c r="E29" s="5" t="s">
        <v>490</v>
      </c>
      <c r="F29" s="13">
        <v>20</v>
      </c>
      <c r="H29" s="13">
        <f t="shared" si="8"/>
        <v>0</v>
      </c>
      <c r="I29" s="13">
        <f t="shared" si="9"/>
        <v>0</v>
      </c>
      <c r="J29" s="13">
        <f t="shared" si="10"/>
        <v>0</v>
      </c>
      <c r="K29" s="13">
        <v>0</v>
      </c>
      <c r="L29" s="13">
        <f t="shared" si="11"/>
        <v>0</v>
      </c>
      <c r="N29" s="25" t="s">
        <v>7</v>
      </c>
      <c r="O29" s="13">
        <f t="shared" si="12"/>
        <v>0</v>
      </c>
      <c r="Z29" s="13">
        <f t="shared" si="13"/>
        <v>0</v>
      </c>
      <c r="AA29" s="13">
        <f t="shared" si="14"/>
        <v>0</v>
      </c>
      <c r="AB29" s="13">
        <f t="shared" si="15"/>
        <v>0</v>
      </c>
      <c r="AD29" s="13">
        <v>21</v>
      </c>
      <c r="AE29" s="13">
        <f>G29*0</f>
        <v>0</v>
      </c>
      <c r="AF29" s="13">
        <f>G29*(1-0)</f>
        <v>0</v>
      </c>
    </row>
    <row r="30" spans="1:32" ht="12.75">
      <c r="A30" s="5" t="s">
        <v>21</v>
      </c>
      <c r="B30" s="5" t="s">
        <v>155</v>
      </c>
      <c r="C30" s="104" t="s">
        <v>173</v>
      </c>
      <c r="D30" s="5" t="s">
        <v>329</v>
      </c>
      <c r="E30" s="5" t="s">
        <v>491</v>
      </c>
      <c r="F30" s="13">
        <v>10.6</v>
      </c>
      <c r="H30" s="13">
        <f t="shared" si="8"/>
        <v>0</v>
      </c>
      <c r="I30" s="13">
        <f t="shared" si="9"/>
        <v>0</v>
      </c>
      <c r="J30" s="13">
        <f t="shared" si="10"/>
        <v>0</v>
      </c>
      <c r="K30" s="13">
        <v>0</v>
      </c>
      <c r="L30" s="13">
        <f t="shared" si="11"/>
        <v>0</v>
      </c>
      <c r="N30" s="25" t="s">
        <v>11</v>
      </c>
      <c r="O30" s="13">
        <f t="shared" si="12"/>
        <v>0</v>
      </c>
      <c r="Z30" s="13">
        <f t="shared" si="13"/>
        <v>0</v>
      </c>
      <c r="AA30" s="13">
        <f t="shared" si="14"/>
        <v>0</v>
      </c>
      <c r="AB30" s="13">
        <f t="shared" si="15"/>
        <v>0</v>
      </c>
      <c r="AD30" s="13">
        <v>21</v>
      </c>
      <c r="AE30" s="13">
        <f>G30*0</f>
        <v>0</v>
      </c>
      <c r="AF30" s="13">
        <f>G30*(1-0)</f>
        <v>0</v>
      </c>
    </row>
    <row r="31" spans="1:37" ht="12.75">
      <c r="A31" s="4"/>
      <c r="B31" s="4"/>
      <c r="C31" s="11" t="s">
        <v>174</v>
      </c>
      <c r="D31" s="44" t="s">
        <v>330</v>
      </c>
      <c r="E31" s="45"/>
      <c r="F31" s="45"/>
      <c r="G31" s="45"/>
      <c r="H31" s="27">
        <f>SUM(H32:H33)</f>
        <v>0</v>
      </c>
      <c r="I31" s="27">
        <f>SUM(I32:I33)</f>
        <v>0</v>
      </c>
      <c r="J31" s="27">
        <f>H31+I31</f>
        <v>0</v>
      </c>
      <c r="K31" s="22"/>
      <c r="L31" s="27">
        <f>SUM(L32:L33)</f>
        <v>0.086925</v>
      </c>
      <c r="P31" s="27">
        <f>IF(Q31="PR",J31,SUM(O32:O33))</f>
        <v>0</v>
      </c>
      <c r="Q31" s="22" t="s">
        <v>526</v>
      </c>
      <c r="R31" s="27">
        <f>IF(Q31="HS",H31,0)</f>
        <v>0</v>
      </c>
      <c r="S31" s="27">
        <f>IF(Q31="HS",I31-P31,0)</f>
        <v>0</v>
      </c>
      <c r="T31" s="27">
        <f>IF(Q31="PS",H31,0)</f>
        <v>0</v>
      </c>
      <c r="U31" s="27">
        <f>IF(Q31="PS",I31-P31,0)</f>
        <v>0</v>
      </c>
      <c r="V31" s="27">
        <f>IF(Q31="MP",H31,0)</f>
        <v>0</v>
      </c>
      <c r="W31" s="27">
        <f>IF(Q31="MP",I31-P31,0)</f>
        <v>0</v>
      </c>
      <c r="X31" s="27">
        <f>IF(Q31="OM",H31,0)</f>
        <v>0</v>
      </c>
      <c r="Y31" s="22" t="s">
        <v>155</v>
      </c>
      <c r="AI31" s="27">
        <f>SUM(Z32:Z33)</f>
        <v>0</v>
      </c>
      <c r="AJ31" s="27">
        <f>SUM(AA32:AA33)</f>
        <v>0</v>
      </c>
      <c r="AK31" s="27">
        <f>SUM(AB32:AB33)</f>
        <v>0</v>
      </c>
    </row>
    <row r="32" spans="1:32" ht="12.75">
      <c r="A32" s="5" t="s">
        <v>22</v>
      </c>
      <c r="B32" s="5" t="s">
        <v>155</v>
      </c>
      <c r="C32" s="104" t="s">
        <v>175</v>
      </c>
      <c r="D32" s="5" t="s">
        <v>331</v>
      </c>
      <c r="E32" s="5" t="s">
        <v>490</v>
      </c>
      <c r="F32" s="13">
        <v>262.7</v>
      </c>
      <c r="H32" s="13">
        <f>ROUND(F32*AE32,2)</f>
        <v>0</v>
      </c>
      <c r="I32" s="13">
        <f>J32-H32</f>
        <v>0</v>
      </c>
      <c r="J32" s="13">
        <f>ROUND(F32*G32,2)</f>
        <v>0</v>
      </c>
      <c r="K32" s="13">
        <v>0.00015</v>
      </c>
      <c r="L32" s="13">
        <f>F32*K32</f>
        <v>0.039404999999999996</v>
      </c>
      <c r="N32" s="25" t="s">
        <v>522</v>
      </c>
      <c r="O32" s="13">
        <f>IF(N32="5",I32,0)</f>
        <v>0</v>
      </c>
      <c r="Z32" s="13">
        <f>IF(AD32=0,J32,0)</f>
        <v>0</v>
      </c>
      <c r="AA32" s="13">
        <f>IF(AD32=15,J32,0)</f>
        <v>0</v>
      </c>
      <c r="AB32" s="13">
        <f>IF(AD32=21,J32,0)</f>
        <v>0</v>
      </c>
      <c r="AD32" s="13">
        <v>21</v>
      </c>
      <c r="AE32" s="13">
        <f>G32*1</f>
        <v>0</v>
      </c>
      <c r="AF32" s="13">
        <f>G32*(1-1)</f>
        <v>0</v>
      </c>
    </row>
    <row r="33" spans="1:32" ht="12.75">
      <c r="A33" s="5" t="s">
        <v>23</v>
      </c>
      <c r="B33" s="5" t="s">
        <v>155</v>
      </c>
      <c r="C33" s="104" t="s">
        <v>175</v>
      </c>
      <c r="D33" s="5" t="s">
        <v>332</v>
      </c>
      <c r="E33" s="5" t="s">
        <v>490</v>
      </c>
      <c r="F33" s="13">
        <v>316.8</v>
      </c>
      <c r="H33" s="13">
        <f>ROUND(F33*AE33,2)</f>
        <v>0</v>
      </c>
      <c r="I33" s="13">
        <f>J33-H33</f>
        <v>0</v>
      </c>
      <c r="J33" s="13">
        <f>ROUND(F33*G33,2)</f>
        <v>0</v>
      </c>
      <c r="K33" s="13">
        <v>0.00015</v>
      </c>
      <c r="L33" s="13">
        <f>F33*K33</f>
        <v>0.04752</v>
      </c>
      <c r="N33" s="25" t="s">
        <v>522</v>
      </c>
      <c r="O33" s="13">
        <f>IF(N33="5",I33,0)</f>
        <v>0</v>
      </c>
      <c r="Z33" s="13">
        <f>IF(AD33=0,J33,0)</f>
        <v>0</v>
      </c>
      <c r="AA33" s="13">
        <f>IF(AD33=15,J33,0)</f>
        <v>0</v>
      </c>
      <c r="AB33" s="13">
        <f>IF(AD33=21,J33,0)</f>
        <v>0</v>
      </c>
      <c r="AD33" s="13">
        <v>21</v>
      </c>
      <c r="AE33" s="13">
        <f>G33*1</f>
        <v>0</v>
      </c>
      <c r="AF33" s="13">
        <f>G33*(1-1)</f>
        <v>0</v>
      </c>
    </row>
    <row r="34" spans="1:12" ht="12.75">
      <c r="A34" s="4"/>
      <c r="B34" s="4"/>
      <c r="C34" s="11"/>
      <c r="D34" s="44" t="s">
        <v>333</v>
      </c>
      <c r="E34" s="45"/>
      <c r="F34" s="45"/>
      <c r="G34" s="45"/>
      <c r="H34" s="27">
        <f>H35+H39+H42+H46+H51+H60+H63+H66+H71+H77+H81+H83</f>
        <v>0</v>
      </c>
      <c r="I34" s="27">
        <f>I35+I39+I42+I46+I51+I60+I63+I66+I71+I77+I81+I83</f>
        <v>0</v>
      </c>
      <c r="J34" s="27">
        <f>H34+I34</f>
        <v>0</v>
      </c>
      <c r="K34" s="22"/>
      <c r="L34" s="27">
        <f>L35+L39+L42+L46+L51+L60+L63+L66+L71+L77+L81+L83</f>
        <v>207.49462</v>
      </c>
    </row>
    <row r="35" spans="1:37" ht="12.75">
      <c r="A35" s="4"/>
      <c r="B35" s="4"/>
      <c r="C35" s="11" t="s">
        <v>19</v>
      </c>
      <c r="D35" s="44" t="s">
        <v>334</v>
      </c>
      <c r="E35" s="45"/>
      <c r="F35" s="45"/>
      <c r="G35" s="45"/>
      <c r="H35" s="27">
        <f>SUM(H36:H38)</f>
        <v>0</v>
      </c>
      <c r="I35" s="27">
        <f>SUM(I36:I38)</f>
        <v>0</v>
      </c>
      <c r="J35" s="27">
        <f>H35+I35</f>
        <v>0</v>
      </c>
      <c r="K35" s="22"/>
      <c r="L35" s="27">
        <f>SUM(L36:L38)</f>
        <v>0</v>
      </c>
      <c r="P35" s="27">
        <f>IF(Q35="PR",J35,SUM(O36:O38))</f>
        <v>0</v>
      </c>
      <c r="Q35" s="22" t="s">
        <v>525</v>
      </c>
      <c r="R35" s="27">
        <f>IF(Q35="HS",H35,0)</f>
        <v>0</v>
      </c>
      <c r="S35" s="27">
        <f>IF(Q35="HS",I35-P35,0)</f>
        <v>0</v>
      </c>
      <c r="T35" s="27">
        <f>IF(Q35="PS",H35,0)</f>
        <v>0</v>
      </c>
      <c r="U35" s="27">
        <f>IF(Q35="PS",I35-P35,0)</f>
        <v>0</v>
      </c>
      <c r="V35" s="27">
        <f>IF(Q35="MP",H35,0)</f>
        <v>0</v>
      </c>
      <c r="W35" s="27">
        <f>IF(Q35="MP",I35-P35,0)</f>
        <v>0</v>
      </c>
      <c r="X35" s="27">
        <f>IF(Q35="OM",H35,0)</f>
        <v>0</v>
      </c>
      <c r="Y35" s="22" t="s">
        <v>156</v>
      </c>
      <c r="AI35" s="27">
        <f>SUM(Z36:Z38)</f>
        <v>0</v>
      </c>
      <c r="AJ35" s="27">
        <f>SUM(AA36:AA38)</f>
        <v>0</v>
      </c>
      <c r="AK35" s="27">
        <f>SUM(AB36:AB38)</f>
        <v>0</v>
      </c>
    </row>
    <row r="36" spans="1:32" ht="12.75">
      <c r="A36" s="5" t="s">
        <v>24</v>
      </c>
      <c r="B36" s="5" t="s">
        <v>156</v>
      </c>
      <c r="C36" s="104" t="s">
        <v>176</v>
      </c>
      <c r="D36" s="5" t="s">
        <v>335</v>
      </c>
      <c r="E36" s="5" t="s">
        <v>492</v>
      </c>
      <c r="F36" s="13">
        <v>56.4</v>
      </c>
      <c r="H36" s="13">
        <f>ROUND(F36*AE36,2)</f>
        <v>0</v>
      </c>
      <c r="I36" s="13">
        <f>J36-H36</f>
        <v>0</v>
      </c>
      <c r="J36" s="13">
        <f>ROUND(F36*G36,2)</f>
        <v>0</v>
      </c>
      <c r="K36" s="13">
        <v>0</v>
      </c>
      <c r="L36" s="13">
        <f>F36*K36</f>
        <v>0</v>
      </c>
      <c r="N36" s="25" t="s">
        <v>7</v>
      </c>
      <c r="O36" s="13">
        <f>IF(N36="5",I36,0)</f>
        <v>0</v>
      </c>
      <c r="Z36" s="13">
        <f>IF(AD36=0,J36,0)</f>
        <v>0</v>
      </c>
      <c r="AA36" s="13">
        <f>IF(AD36=15,J36,0)</f>
        <v>0</v>
      </c>
      <c r="AB36" s="13">
        <f>IF(AD36=21,J36,0)</f>
        <v>0</v>
      </c>
      <c r="AD36" s="13">
        <v>21</v>
      </c>
      <c r="AE36" s="13">
        <f>G36*0</f>
        <v>0</v>
      </c>
      <c r="AF36" s="13">
        <f>G36*(1-0)</f>
        <v>0</v>
      </c>
    </row>
    <row r="37" spans="1:32" ht="12.75">
      <c r="A37" s="5" t="s">
        <v>25</v>
      </c>
      <c r="B37" s="5" t="s">
        <v>156</v>
      </c>
      <c r="C37" s="104" t="s">
        <v>177</v>
      </c>
      <c r="D37" s="5" t="s">
        <v>336</v>
      </c>
      <c r="E37" s="5" t="s">
        <v>492</v>
      </c>
      <c r="F37" s="13">
        <v>56.4</v>
      </c>
      <c r="H37" s="13">
        <f>ROUND(F37*AE37,2)</f>
        <v>0</v>
      </c>
      <c r="I37" s="13">
        <f>J37-H37</f>
        <v>0</v>
      </c>
      <c r="J37" s="13">
        <f>ROUND(F37*G37,2)</f>
        <v>0</v>
      </c>
      <c r="K37" s="13">
        <v>0</v>
      </c>
      <c r="L37" s="13">
        <f>F37*K37</f>
        <v>0</v>
      </c>
      <c r="N37" s="25" t="s">
        <v>7</v>
      </c>
      <c r="O37" s="13">
        <f>IF(N37="5",I37,0)</f>
        <v>0</v>
      </c>
      <c r="Z37" s="13">
        <f>IF(AD37=0,J37,0)</f>
        <v>0</v>
      </c>
      <c r="AA37" s="13">
        <f>IF(AD37=15,J37,0)</f>
        <v>0</v>
      </c>
      <c r="AB37" s="13">
        <f>IF(AD37=21,J37,0)</f>
        <v>0</v>
      </c>
      <c r="AD37" s="13">
        <v>21</v>
      </c>
      <c r="AE37" s="13">
        <f>G37*0</f>
        <v>0</v>
      </c>
      <c r="AF37" s="13">
        <f>G37*(1-0)</f>
        <v>0</v>
      </c>
    </row>
    <row r="38" spans="1:32" ht="12.75">
      <c r="A38" s="5" t="s">
        <v>26</v>
      </c>
      <c r="B38" s="5" t="s">
        <v>156</v>
      </c>
      <c r="C38" s="104" t="s">
        <v>178</v>
      </c>
      <c r="D38" s="5" t="s">
        <v>337</v>
      </c>
      <c r="E38" s="5" t="s">
        <v>492</v>
      </c>
      <c r="F38" s="13">
        <v>56.4</v>
      </c>
      <c r="H38" s="13">
        <f>ROUND(F38*AE38,2)</f>
        <v>0</v>
      </c>
      <c r="I38" s="13">
        <f>J38-H38</f>
        <v>0</v>
      </c>
      <c r="J38" s="13">
        <f>ROUND(F38*G38,2)</f>
        <v>0</v>
      </c>
      <c r="K38" s="13">
        <v>0</v>
      </c>
      <c r="L38" s="13">
        <f>F38*K38</f>
        <v>0</v>
      </c>
      <c r="N38" s="25" t="s">
        <v>7</v>
      </c>
      <c r="O38" s="13">
        <f>IF(N38="5",I38,0)</f>
        <v>0</v>
      </c>
      <c r="Z38" s="13">
        <f>IF(AD38=0,J38,0)</f>
        <v>0</v>
      </c>
      <c r="AA38" s="13">
        <f>IF(AD38=15,J38,0)</f>
        <v>0</v>
      </c>
      <c r="AB38" s="13">
        <f>IF(AD38=21,J38,0)</f>
        <v>0</v>
      </c>
      <c r="AD38" s="13">
        <v>21</v>
      </c>
      <c r="AE38" s="13">
        <f>G38*0</f>
        <v>0</v>
      </c>
      <c r="AF38" s="13">
        <f>G38*(1-0)</f>
        <v>0</v>
      </c>
    </row>
    <row r="39" spans="1:37" ht="12.75">
      <c r="A39" s="4"/>
      <c r="B39" s="4"/>
      <c r="C39" s="11" t="s">
        <v>22</v>
      </c>
      <c r="D39" s="44" t="s">
        <v>338</v>
      </c>
      <c r="E39" s="45"/>
      <c r="F39" s="45"/>
      <c r="G39" s="45"/>
      <c r="H39" s="27">
        <f>SUM(H40:H41)</f>
        <v>0</v>
      </c>
      <c r="I39" s="27">
        <f>SUM(I40:I41)</f>
        <v>0</v>
      </c>
      <c r="J39" s="27">
        <f>H39+I39</f>
        <v>0</v>
      </c>
      <c r="K39" s="22"/>
      <c r="L39" s="27">
        <f>SUM(L40:L41)</f>
        <v>0</v>
      </c>
      <c r="P39" s="27">
        <f>IF(Q39="PR",J39,SUM(O40:O41))</f>
        <v>0</v>
      </c>
      <c r="Q39" s="22" t="s">
        <v>525</v>
      </c>
      <c r="R39" s="27">
        <f>IF(Q39="HS",H39,0)</f>
        <v>0</v>
      </c>
      <c r="S39" s="27">
        <f>IF(Q39="HS",I39-P39,0)</f>
        <v>0</v>
      </c>
      <c r="T39" s="27">
        <f>IF(Q39="PS",H39,0)</f>
        <v>0</v>
      </c>
      <c r="U39" s="27">
        <f>IF(Q39="PS",I39-P39,0)</f>
        <v>0</v>
      </c>
      <c r="V39" s="27">
        <f>IF(Q39="MP",H39,0)</f>
        <v>0</v>
      </c>
      <c r="W39" s="27">
        <f>IF(Q39="MP",I39-P39,0)</f>
        <v>0</v>
      </c>
      <c r="X39" s="27">
        <f>IF(Q39="OM",H39,0)</f>
        <v>0</v>
      </c>
      <c r="Y39" s="22" t="s">
        <v>156</v>
      </c>
      <c r="AI39" s="27">
        <f>SUM(Z40:Z41)</f>
        <v>0</v>
      </c>
      <c r="AJ39" s="27">
        <f>SUM(AA40:AA41)</f>
        <v>0</v>
      </c>
      <c r="AK39" s="27">
        <f>SUM(AB40:AB41)</f>
        <v>0</v>
      </c>
    </row>
    <row r="40" spans="1:32" ht="12.75">
      <c r="A40" s="5" t="s">
        <v>27</v>
      </c>
      <c r="B40" s="5" t="s">
        <v>156</v>
      </c>
      <c r="C40" s="104" t="s">
        <v>179</v>
      </c>
      <c r="D40" s="5" t="s">
        <v>339</v>
      </c>
      <c r="E40" s="5" t="s">
        <v>492</v>
      </c>
      <c r="F40" s="13">
        <v>56.4</v>
      </c>
      <c r="H40" s="13">
        <f>ROUND(F40*AE40,2)</f>
        <v>0</v>
      </c>
      <c r="I40" s="13">
        <f>J40-H40</f>
        <v>0</v>
      </c>
      <c r="J40" s="13">
        <f>ROUND(F40*G40,2)</f>
        <v>0</v>
      </c>
      <c r="K40" s="13">
        <v>0</v>
      </c>
      <c r="L40" s="13">
        <f>F40*K40</f>
        <v>0</v>
      </c>
      <c r="N40" s="25" t="s">
        <v>7</v>
      </c>
      <c r="O40" s="13">
        <f>IF(N40="5",I40,0)</f>
        <v>0</v>
      </c>
      <c r="Z40" s="13">
        <f>IF(AD40=0,J40,0)</f>
        <v>0</v>
      </c>
      <c r="AA40" s="13">
        <f>IF(AD40=15,J40,0)</f>
        <v>0</v>
      </c>
      <c r="AB40" s="13">
        <f>IF(AD40=21,J40,0)</f>
        <v>0</v>
      </c>
      <c r="AD40" s="13">
        <v>21</v>
      </c>
      <c r="AE40" s="13">
        <f>G40*0</f>
        <v>0</v>
      </c>
      <c r="AF40" s="13">
        <f>G40*(1-0)</f>
        <v>0</v>
      </c>
    </row>
    <row r="41" spans="1:32" ht="12.75">
      <c r="A41" s="5" t="s">
        <v>28</v>
      </c>
      <c r="B41" s="5" t="s">
        <v>156</v>
      </c>
      <c r="C41" s="104" t="s">
        <v>180</v>
      </c>
      <c r="D41" s="5" t="s">
        <v>340</v>
      </c>
      <c r="E41" s="5" t="s">
        <v>492</v>
      </c>
      <c r="F41" s="13">
        <v>56.4</v>
      </c>
      <c r="H41" s="13">
        <f>ROUND(F41*AE41,2)</f>
        <v>0</v>
      </c>
      <c r="I41" s="13">
        <f>J41-H41</f>
        <v>0</v>
      </c>
      <c r="J41" s="13">
        <f>ROUND(F41*G41,2)</f>
        <v>0</v>
      </c>
      <c r="K41" s="13">
        <v>0</v>
      </c>
      <c r="L41" s="13">
        <f>F41*K41</f>
        <v>0</v>
      </c>
      <c r="N41" s="25" t="s">
        <v>7</v>
      </c>
      <c r="O41" s="13">
        <f>IF(N41="5",I41,0)</f>
        <v>0</v>
      </c>
      <c r="Z41" s="13">
        <f>IF(AD41=0,J41,0)</f>
        <v>0</v>
      </c>
      <c r="AA41" s="13">
        <f>IF(AD41=15,J41,0)</f>
        <v>0</v>
      </c>
      <c r="AB41" s="13">
        <f>IF(AD41=21,J41,0)</f>
        <v>0</v>
      </c>
      <c r="AD41" s="13">
        <v>21</v>
      </c>
      <c r="AE41" s="13">
        <f>G41*0</f>
        <v>0</v>
      </c>
      <c r="AF41" s="13">
        <f>G41*(1-0)</f>
        <v>0</v>
      </c>
    </row>
    <row r="42" spans="1:37" ht="12.75">
      <c r="A42" s="4"/>
      <c r="B42" s="4"/>
      <c r="C42" s="11" t="s">
        <v>23</v>
      </c>
      <c r="D42" s="44" t="s">
        <v>341</v>
      </c>
      <c r="E42" s="45"/>
      <c r="F42" s="45"/>
      <c r="G42" s="45"/>
      <c r="H42" s="27">
        <f>SUM(H43:H45)</f>
        <v>0</v>
      </c>
      <c r="I42" s="27">
        <f>SUM(I43:I45)</f>
        <v>0</v>
      </c>
      <c r="J42" s="27">
        <f>H42+I42</f>
        <v>0</v>
      </c>
      <c r="K42" s="22"/>
      <c r="L42" s="27">
        <f>SUM(L43:L45)</f>
        <v>0</v>
      </c>
      <c r="P42" s="27">
        <f>IF(Q42="PR",J42,SUM(O43:O45))</f>
        <v>0</v>
      </c>
      <c r="Q42" s="22" t="s">
        <v>525</v>
      </c>
      <c r="R42" s="27">
        <f>IF(Q42="HS",H42,0)</f>
        <v>0</v>
      </c>
      <c r="S42" s="27">
        <f>IF(Q42="HS",I42-P42,0)</f>
        <v>0</v>
      </c>
      <c r="T42" s="27">
        <f>IF(Q42="PS",H42,0)</f>
        <v>0</v>
      </c>
      <c r="U42" s="27">
        <f>IF(Q42="PS",I42-P42,0)</f>
        <v>0</v>
      </c>
      <c r="V42" s="27">
        <f>IF(Q42="MP",H42,0)</f>
        <v>0</v>
      </c>
      <c r="W42" s="27">
        <f>IF(Q42="MP",I42-P42,0)</f>
        <v>0</v>
      </c>
      <c r="X42" s="27">
        <f>IF(Q42="OM",H42,0)</f>
        <v>0</v>
      </c>
      <c r="Y42" s="22" t="s">
        <v>156</v>
      </c>
      <c r="AI42" s="27">
        <f>SUM(Z43:Z45)</f>
        <v>0</v>
      </c>
      <c r="AJ42" s="27">
        <f>SUM(AA43:AA45)</f>
        <v>0</v>
      </c>
      <c r="AK42" s="27">
        <f>SUM(AB43:AB45)</f>
        <v>0</v>
      </c>
    </row>
    <row r="43" spans="1:32" ht="12.75">
      <c r="A43" s="5" t="s">
        <v>29</v>
      </c>
      <c r="B43" s="5" t="s">
        <v>156</v>
      </c>
      <c r="C43" s="104" t="s">
        <v>181</v>
      </c>
      <c r="D43" s="5" t="s">
        <v>342</v>
      </c>
      <c r="E43" s="5" t="s">
        <v>492</v>
      </c>
      <c r="F43" s="13">
        <v>56.4</v>
      </c>
      <c r="H43" s="13">
        <f>ROUND(F43*AE43,2)</f>
        <v>0</v>
      </c>
      <c r="I43" s="13">
        <f>J43-H43</f>
        <v>0</v>
      </c>
      <c r="J43" s="13">
        <f>ROUND(F43*G43,2)</f>
        <v>0</v>
      </c>
      <c r="K43" s="13">
        <v>0</v>
      </c>
      <c r="L43" s="13">
        <f>F43*K43</f>
        <v>0</v>
      </c>
      <c r="N43" s="25" t="s">
        <v>7</v>
      </c>
      <c r="O43" s="13">
        <f>IF(N43="5",I43,0)</f>
        <v>0</v>
      </c>
      <c r="Z43" s="13">
        <f>IF(AD43=0,J43,0)</f>
        <v>0</v>
      </c>
      <c r="AA43" s="13">
        <f>IF(AD43=15,J43,0)</f>
        <v>0</v>
      </c>
      <c r="AB43" s="13">
        <f>IF(AD43=21,J43,0)</f>
        <v>0</v>
      </c>
      <c r="AD43" s="13">
        <v>21</v>
      </c>
      <c r="AE43" s="13">
        <f>G43*0</f>
        <v>0</v>
      </c>
      <c r="AF43" s="13">
        <f>G43*(1-0)</f>
        <v>0</v>
      </c>
    </row>
    <row r="44" spans="1:32" ht="12.75">
      <c r="A44" s="5" t="s">
        <v>30</v>
      </c>
      <c r="B44" s="5" t="s">
        <v>156</v>
      </c>
      <c r="C44" s="104" t="s">
        <v>182</v>
      </c>
      <c r="D44" s="5" t="s">
        <v>343</v>
      </c>
      <c r="E44" s="5" t="s">
        <v>492</v>
      </c>
      <c r="F44" s="13">
        <v>56.4</v>
      </c>
      <c r="H44" s="13">
        <f>ROUND(F44*AE44,2)</f>
        <v>0</v>
      </c>
      <c r="I44" s="13">
        <f>J44-H44</f>
        <v>0</v>
      </c>
      <c r="J44" s="13">
        <f>ROUND(F44*G44,2)</f>
        <v>0</v>
      </c>
      <c r="K44" s="13">
        <v>0</v>
      </c>
      <c r="L44" s="13">
        <f>F44*K44</f>
        <v>0</v>
      </c>
      <c r="N44" s="25" t="s">
        <v>7</v>
      </c>
      <c r="O44" s="13">
        <f>IF(N44="5",I44,0)</f>
        <v>0</v>
      </c>
      <c r="Z44" s="13">
        <f>IF(AD44=0,J44,0)</f>
        <v>0</v>
      </c>
      <c r="AA44" s="13">
        <f>IF(AD44=15,J44,0)</f>
        <v>0</v>
      </c>
      <c r="AB44" s="13">
        <f>IF(AD44=21,J44,0)</f>
        <v>0</v>
      </c>
      <c r="AD44" s="13">
        <v>21</v>
      </c>
      <c r="AE44" s="13">
        <f>G44*0</f>
        <v>0</v>
      </c>
      <c r="AF44" s="13">
        <f>G44*(1-0)</f>
        <v>0</v>
      </c>
    </row>
    <row r="45" spans="1:32" ht="12.75">
      <c r="A45" s="5" t="s">
        <v>31</v>
      </c>
      <c r="B45" s="5" t="s">
        <v>156</v>
      </c>
      <c r="C45" s="104" t="s">
        <v>183</v>
      </c>
      <c r="D45" s="5" t="s">
        <v>344</v>
      </c>
      <c r="E45" s="5" t="s">
        <v>492</v>
      </c>
      <c r="F45" s="13">
        <v>56.4</v>
      </c>
      <c r="H45" s="13">
        <f>ROUND(F45*AE45,2)</f>
        <v>0</v>
      </c>
      <c r="I45" s="13">
        <f>J45-H45</f>
        <v>0</v>
      </c>
      <c r="J45" s="13">
        <f>ROUND(F45*G45,2)</f>
        <v>0</v>
      </c>
      <c r="K45" s="13">
        <v>0</v>
      </c>
      <c r="L45" s="13">
        <f>F45*K45</f>
        <v>0</v>
      </c>
      <c r="N45" s="25" t="s">
        <v>7</v>
      </c>
      <c r="O45" s="13">
        <f>IF(N45="5",I45,0)</f>
        <v>0</v>
      </c>
      <c r="Z45" s="13">
        <f>IF(AD45=0,J45,0)</f>
        <v>0</v>
      </c>
      <c r="AA45" s="13">
        <f>IF(AD45=15,J45,0)</f>
        <v>0</v>
      </c>
      <c r="AB45" s="13">
        <f>IF(AD45=21,J45,0)</f>
        <v>0</v>
      </c>
      <c r="AD45" s="13">
        <v>21</v>
      </c>
      <c r="AE45" s="13">
        <f>G45*0</f>
        <v>0</v>
      </c>
      <c r="AF45" s="13">
        <f>G45*(1-0)</f>
        <v>0</v>
      </c>
    </row>
    <row r="46" spans="1:37" ht="12.75">
      <c r="A46" s="4"/>
      <c r="B46" s="4"/>
      <c r="C46" s="11" t="s">
        <v>24</v>
      </c>
      <c r="D46" s="44" t="s">
        <v>345</v>
      </c>
      <c r="E46" s="45"/>
      <c r="F46" s="45"/>
      <c r="G46" s="45"/>
      <c r="H46" s="27">
        <f>SUM(H47:H50)</f>
        <v>0</v>
      </c>
      <c r="I46" s="27">
        <f>SUM(I47:I50)</f>
        <v>0</v>
      </c>
      <c r="J46" s="27">
        <f>H46+I46</f>
        <v>0</v>
      </c>
      <c r="K46" s="22"/>
      <c r="L46" s="27">
        <f>SUM(L47:L50)</f>
        <v>13.576439999999998</v>
      </c>
      <c r="P46" s="27">
        <f>IF(Q46="PR",J46,SUM(O47:O50))</f>
        <v>0</v>
      </c>
      <c r="Q46" s="22" t="s">
        <v>525</v>
      </c>
      <c r="R46" s="27">
        <f>IF(Q46="HS",H46,0)</f>
        <v>0</v>
      </c>
      <c r="S46" s="27">
        <f>IF(Q46="HS",I46-P46,0)</f>
        <v>0</v>
      </c>
      <c r="T46" s="27">
        <f>IF(Q46="PS",H46,0)</f>
        <v>0</v>
      </c>
      <c r="U46" s="27">
        <f>IF(Q46="PS",I46-P46,0)</f>
        <v>0</v>
      </c>
      <c r="V46" s="27">
        <f>IF(Q46="MP",H46,0)</f>
        <v>0</v>
      </c>
      <c r="W46" s="27">
        <f>IF(Q46="MP",I46-P46,0)</f>
        <v>0</v>
      </c>
      <c r="X46" s="27">
        <f>IF(Q46="OM",H46,0)</f>
        <v>0</v>
      </c>
      <c r="Y46" s="22" t="s">
        <v>156</v>
      </c>
      <c r="AI46" s="27">
        <f>SUM(Z47:Z50)</f>
        <v>0</v>
      </c>
      <c r="AJ46" s="27">
        <f>SUM(AA47:AA50)</f>
        <v>0</v>
      </c>
      <c r="AK46" s="27">
        <f>SUM(AB47:AB50)</f>
        <v>0</v>
      </c>
    </row>
    <row r="47" spans="1:32" ht="12.75">
      <c r="A47" s="5" t="s">
        <v>32</v>
      </c>
      <c r="B47" s="5" t="s">
        <v>156</v>
      </c>
      <c r="C47" s="104" t="s">
        <v>184</v>
      </c>
      <c r="D47" s="5" t="s">
        <v>346</v>
      </c>
      <c r="E47" s="5" t="s">
        <v>490</v>
      </c>
      <c r="F47" s="13">
        <v>230</v>
      </c>
      <c r="H47" s="13">
        <f>ROUND(F47*AE47,2)</f>
        <v>0</v>
      </c>
      <c r="I47" s="13">
        <f>J47-H47</f>
        <v>0</v>
      </c>
      <c r="J47" s="13">
        <f>ROUND(F47*G47,2)</f>
        <v>0</v>
      </c>
      <c r="K47" s="13">
        <v>0</v>
      </c>
      <c r="L47" s="13">
        <f>F47*K47</f>
        <v>0</v>
      </c>
      <c r="N47" s="25" t="s">
        <v>7</v>
      </c>
      <c r="O47" s="13">
        <f>IF(N47="5",I47,0)</f>
        <v>0</v>
      </c>
      <c r="Z47" s="13">
        <f>IF(AD47=0,J47,0)</f>
        <v>0</v>
      </c>
      <c r="AA47" s="13">
        <f>IF(AD47=15,J47,0)</f>
        <v>0</v>
      </c>
      <c r="AB47" s="13">
        <f>IF(AD47=21,J47,0)</f>
        <v>0</v>
      </c>
      <c r="AD47" s="13">
        <v>21</v>
      </c>
      <c r="AE47" s="13">
        <f>G47*0.0894526034712951</f>
        <v>0</v>
      </c>
      <c r="AF47" s="13">
        <f>G47*(1-0.0894526034712951)</f>
        <v>0</v>
      </c>
    </row>
    <row r="48" spans="1:32" ht="12.75">
      <c r="A48" s="5" t="s">
        <v>33</v>
      </c>
      <c r="B48" s="5" t="s">
        <v>156</v>
      </c>
      <c r="C48" s="104" t="s">
        <v>185</v>
      </c>
      <c r="D48" s="5" t="s">
        <v>347</v>
      </c>
      <c r="E48" s="5" t="s">
        <v>493</v>
      </c>
      <c r="F48" s="13">
        <v>100</v>
      </c>
      <c r="H48" s="13">
        <f>ROUND(F48*AE48,2)</f>
        <v>0</v>
      </c>
      <c r="I48" s="13">
        <f>J48-H48</f>
        <v>0</v>
      </c>
      <c r="J48" s="13">
        <f>ROUND(F48*G48,2)</f>
        <v>0</v>
      </c>
      <c r="K48" s="13">
        <v>0.11777</v>
      </c>
      <c r="L48" s="13">
        <f>F48*K48</f>
        <v>11.777</v>
      </c>
      <c r="N48" s="25" t="s">
        <v>7</v>
      </c>
      <c r="O48" s="13">
        <f>IF(N48="5",I48,0)</f>
        <v>0</v>
      </c>
      <c r="Z48" s="13">
        <f>IF(AD48=0,J48,0)</f>
        <v>0</v>
      </c>
      <c r="AA48" s="13">
        <f>IF(AD48=15,J48,0)</f>
        <v>0</v>
      </c>
      <c r="AB48" s="13">
        <f>IF(AD48=21,J48,0)</f>
        <v>0</v>
      </c>
      <c r="AD48" s="13">
        <v>21</v>
      </c>
      <c r="AE48" s="13">
        <f>G48*0.80475773362224</f>
        <v>0</v>
      </c>
      <c r="AF48" s="13">
        <f>G48*(1-0.80475773362224)</f>
        <v>0</v>
      </c>
    </row>
    <row r="49" spans="1:32" ht="12.75">
      <c r="A49" s="5" t="s">
        <v>34</v>
      </c>
      <c r="B49" s="5" t="s">
        <v>156</v>
      </c>
      <c r="C49" s="104" t="s">
        <v>186</v>
      </c>
      <c r="D49" s="5" t="s">
        <v>348</v>
      </c>
      <c r="E49" s="5" t="s">
        <v>493</v>
      </c>
      <c r="F49" s="13">
        <v>28</v>
      </c>
      <c r="H49" s="13">
        <f>ROUND(F49*AE49,2)</f>
        <v>0</v>
      </c>
      <c r="I49" s="13">
        <f>J49-H49</f>
        <v>0</v>
      </c>
      <c r="J49" s="13">
        <f>ROUND(F49*G49,2)</f>
        <v>0</v>
      </c>
      <c r="K49" s="13">
        <v>0.06398</v>
      </c>
      <c r="L49" s="13">
        <f>F49*K49</f>
        <v>1.79144</v>
      </c>
      <c r="N49" s="25" t="s">
        <v>7</v>
      </c>
      <c r="O49" s="13">
        <f>IF(N49="5",I49,0)</f>
        <v>0</v>
      </c>
      <c r="Z49" s="13">
        <f>IF(AD49=0,J49,0)</f>
        <v>0</v>
      </c>
      <c r="AA49" s="13">
        <f>IF(AD49=15,J49,0)</f>
        <v>0</v>
      </c>
      <c r="AB49" s="13">
        <f>IF(AD49=21,J49,0)</f>
        <v>0</v>
      </c>
      <c r="AD49" s="13">
        <v>21</v>
      </c>
      <c r="AE49" s="13">
        <f>G49*0.740829802664224</f>
        <v>0</v>
      </c>
      <c r="AF49" s="13">
        <f>G49*(1-0.740829802664224)</f>
        <v>0</v>
      </c>
    </row>
    <row r="50" spans="1:32" ht="12.75">
      <c r="A50" s="5" t="s">
        <v>35</v>
      </c>
      <c r="B50" s="5" t="s">
        <v>156</v>
      </c>
      <c r="C50" s="104" t="s">
        <v>187</v>
      </c>
      <c r="D50" s="5" t="s">
        <v>349</v>
      </c>
      <c r="E50" s="5" t="s">
        <v>494</v>
      </c>
      <c r="F50" s="13">
        <v>8</v>
      </c>
      <c r="H50" s="13">
        <f>ROUND(F50*AE50,2)</f>
        <v>0</v>
      </c>
      <c r="I50" s="13">
        <f>J50-H50</f>
        <v>0</v>
      </c>
      <c r="J50" s="13">
        <f>ROUND(F50*G50,2)</f>
        <v>0</v>
      </c>
      <c r="K50" s="13">
        <v>0.001</v>
      </c>
      <c r="L50" s="13">
        <f>F50*K50</f>
        <v>0.008</v>
      </c>
      <c r="N50" s="25" t="s">
        <v>522</v>
      </c>
      <c r="O50" s="13">
        <f>IF(N50="5",I50,0)</f>
        <v>0</v>
      </c>
      <c r="Z50" s="13">
        <f>IF(AD50=0,J50,0)</f>
        <v>0</v>
      </c>
      <c r="AA50" s="13">
        <f>IF(AD50=15,J50,0)</f>
        <v>0</v>
      </c>
      <c r="AB50" s="13">
        <f>IF(AD50=21,J50,0)</f>
        <v>0</v>
      </c>
      <c r="AD50" s="13">
        <v>21</v>
      </c>
      <c r="AE50" s="13">
        <f>G50*1</f>
        <v>0</v>
      </c>
      <c r="AF50" s="13">
        <f>G50*(1-1)</f>
        <v>0</v>
      </c>
    </row>
    <row r="51" spans="1:37" ht="12.75">
      <c r="A51" s="4"/>
      <c r="B51" s="4"/>
      <c r="C51" s="11" t="s">
        <v>27</v>
      </c>
      <c r="D51" s="44" t="s">
        <v>350</v>
      </c>
      <c r="E51" s="45"/>
      <c r="F51" s="45"/>
      <c r="G51" s="45"/>
      <c r="H51" s="27">
        <f>SUM(H52:H59)</f>
        <v>0</v>
      </c>
      <c r="I51" s="27">
        <f>SUM(I52:I59)</f>
        <v>0</v>
      </c>
      <c r="J51" s="27">
        <f>H51+I51</f>
        <v>0</v>
      </c>
      <c r="K51" s="22"/>
      <c r="L51" s="27">
        <f>SUM(L52:L59)</f>
        <v>85.07096000000001</v>
      </c>
      <c r="P51" s="27">
        <f>IF(Q51="PR",J51,SUM(O52:O59))</f>
        <v>0</v>
      </c>
      <c r="Q51" s="22" t="s">
        <v>525</v>
      </c>
      <c r="R51" s="27">
        <f>IF(Q51="HS",H51,0)</f>
        <v>0</v>
      </c>
      <c r="S51" s="27">
        <f>IF(Q51="HS",I51-P51,0)</f>
        <v>0</v>
      </c>
      <c r="T51" s="27">
        <f>IF(Q51="PS",H51,0)</f>
        <v>0</v>
      </c>
      <c r="U51" s="27">
        <f>IF(Q51="PS",I51-P51,0)</f>
        <v>0</v>
      </c>
      <c r="V51" s="27">
        <f>IF(Q51="MP",H51,0)</f>
        <v>0</v>
      </c>
      <c r="W51" s="27">
        <f>IF(Q51="MP",I51-P51,0)</f>
        <v>0</v>
      </c>
      <c r="X51" s="27">
        <f>IF(Q51="OM",H51,0)</f>
        <v>0</v>
      </c>
      <c r="Y51" s="22" t="s">
        <v>156</v>
      </c>
      <c r="AI51" s="27">
        <f>SUM(Z52:Z59)</f>
        <v>0</v>
      </c>
      <c r="AJ51" s="27">
        <f>SUM(AA52:AA59)</f>
        <v>0</v>
      </c>
      <c r="AK51" s="27">
        <f>SUM(AB52:AB59)</f>
        <v>0</v>
      </c>
    </row>
    <row r="52" spans="1:32" ht="12.75">
      <c r="A52" s="5" t="s">
        <v>36</v>
      </c>
      <c r="B52" s="5" t="s">
        <v>156</v>
      </c>
      <c r="C52" s="104" t="s">
        <v>188</v>
      </c>
      <c r="D52" s="5" t="s">
        <v>351</v>
      </c>
      <c r="E52" s="5" t="s">
        <v>493</v>
      </c>
      <c r="F52" s="13">
        <v>110</v>
      </c>
      <c r="H52" s="13">
        <f aca="true" t="shared" si="16" ref="H52:H59">ROUND(F52*AE52,2)</f>
        <v>0</v>
      </c>
      <c r="I52" s="13">
        <f aca="true" t="shared" si="17" ref="I52:I59">J52-H52</f>
        <v>0</v>
      </c>
      <c r="J52" s="13">
        <f aca="true" t="shared" si="18" ref="J52:J59">ROUND(F52*G52,2)</f>
        <v>0</v>
      </c>
      <c r="K52" s="13">
        <v>0.014</v>
      </c>
      <c r="L52" s="13">
        <f aca="true" t="shared" si="19" ref="L52:L59">F52*K52</f>
        <v>1.54</v>
      </c>
      <c r="N52" s="25" t="s">
        <v>7</v>
      </c>
      <c r="O52" s="13">
        <f aca="true" t="shared" si="20" ref="O52:O59">IF(N52="5",I52,0)</f>
        <v>0</v>
      </c>
      <c r="Z52" s="13">
        <f aca="true" t="shared" si="21" ref="Z52:Z59">IF(AD52=0,J52,0)</f>
        <v>0</v>
      </c>
      <c r="AA52" s="13">
        <f aca="true" t="shared" si="22" ref="AA52:AA59">IF(AD52=15,J52,0)</f>
        <v>0</v>
      </c>
      <c r="AB52" s="13">
        <f aca="true" t="shared" si="23" ref="AB52:AB59">IF(AD52=21,J52,0)</f>
        <v>0</v>
      </c>
      <c r="AD52" s="13">
        <v>21</v>
      </c>
      <c r="AE52" s="13">
        <f>G52*0.808728763913298</f>
        <v>0</v>
      </c>
      <c r="AF52" s="13">
        <f>G52*(1-0.808728763913298)</f>
        <v>0</v>
      </c>
    </row>
    <row r="53" spans="1:32" ht="12.75">
      <c r="A53" s="5" t="s">
        <v>37</v>
      </c>
      <c r="B53" s="5" t="s">
        <v>156</v>
      </c>
      <c r="C53" s="104" t="s">
        <v>189</v>
      </c>
      <c r="D53" s="5" t="s">
        <v>352</v>
      </c>
      <c r="E53" s="5" t="s">
        <v>492</v>
      </c>
      <c r="F53" s="13">
        <v>50</v>
      </c>
      <c r="H53" s="13">
        <f t="shared" si="16"/>
        <v>0</v>
      </c>
      <c r="I53" s="13">
        <f t="shared" si="17"/>
        <v>0</v>
      </c>
      <c r="J53" s="13">
        <f t="shared" si="18"/>
        <v>0</v>
      </c>
      <c r="K53" s="13">
        <v>1.665</v>
      </c>
      <c r="L53" s="13">
        <f t="shared" si="19"/>
        <v>83.25</v>
      </c>
      <c r="N53" s="25" t="s">
        <v>7</v>
      </c>
      <c r="O53" s="13">
        <f t="shared" si="20"/>
        <v>0</v>
      </c>
      <c r="Z53" s="13">
        <f t="shared" si="21"/>
        <v>0</v>
      </c>
      <c r="AA53" s="13">
        <f t="shared" si="22"/>
        <v>0</v>
      </c>
      <c r="AB53" s="13">
        <f t="shared" si="23"/>
        <v>0</v>
      </c>
      <c r="AD53" s="13">
        <v>21</v>
      </c>
      <c r="AE53" s="13">
        <f>G53*0.783500816159967</f>
        <v>0</v>
      </c>
      <c r="AF53" s="13">
        <f>G53*(1-0.783500816159967)</f>
        <v>0</v>
      </c>
    </row>
    <row r="54" spans="1:32" ht="12.75">
      <c r="A54" s="5" t="s">
        <v>38</v>
      </c>
      <c r="B54" s="5" t="s">
        <v>156</v>
      </c>
      <c r="C54" s="104" t="s">
        <v>190</v>
      </c>
      <c r="D54" s="5" t="s">
        <v>353</v>
      </c>
      <c r="E54" s="5" t="s">
        <v>495</v>
      </c>
      <c r="F54" s="13">
        <v>50</v>
      </c>
      <c r="H54" s="13">
        <f t="shared" si="16"/>
        <v>0</v>
      </c>
      <c r="I54" s="13">
        <f t="shared" si="17"/>
        <v>0</v>
      </c>
      <c r="J54" s="13">
        <f t="shared" si="18"/>
        <v>0</v>
      </c>
      <c r="K54" s="13">
        <v>0.0016</v>
      </c>
      <c r="L54" s="13">
        <f t="shared" si="19"/>
        <v>0.08</v>
      </c>
      <c r="N54" s="25" t="s">
        <v>522</v>
      </c>
      <c r="O54" s="13">
        <f t="shared" si="20"/>
        <v>0</v>
      </c>
      <c r="Z54" s="13">
        <f t="shared" si="21"/>
        <v>0</v>
      </c>
      <c r="AA54" s="13">
        <f t="shared" si="22"/>
        <v>0</v>
      </c>
      <c r="AB54" s="13">
        <f t="shared" si="23"/>
        <v>0</v>
      </c>
      <c r="AD54" s="13">
        <v>21</v>
      </c>
      <c r="AE54" s="13">
        <f>G54*1</f>
        <v>0</v>
      </c>
      <c r="AF54" s="13">
        <f>G54*(1-1)</f>
        <v>0</v>
      </c>
    </row>
    <row r="55" spans="1:32" ht="12.75">
      <c r="A55" s="5" t="s">
        <v>39</v>
      </c>
      <c r="B55" s="5" t="s">
        <v>156</v>
      </c>
      <c r="C55" s="104" t="s">
        <v>191</v>
      </c>
      <c r="D55" s="5" t="s">
        <v>354</v>
      </c>
      <c r="E55" s="5" t="s">
        <v>490</v>
      </c>
      <c r="F55" s="13">
        <v>100</v>
      </c>
      <c r="H55" s="13">
        <f t="shared" si="16"/>
        <v>0</v>
      </c>
      <c r="I55" s="13">
        <f t="shared" si="17"/>
        <v>0</v>
      </c>
      <c r="J55" s="13">
        <f t="shared" si="18"/>
        <v>0</v>
      </c>
      <c r="K55" s="13">
        <v>0.002</v>
      </c>
      <c r="L55" s="13">
        <f t="shared" si="19"/>
        <v>0.2</v>
      </c>
      <c r="N55" s="25" t="s">
        <v>7</v>
      </c>
      <c r="O55" s="13">
        <f t="shared" si="20"/>
        <v>0</v>
      </c>
      <c r="Z55" s="13">
        <f t="shared" si="21"/>
        <v>0</v>
      </c>
      <c r="AA55" s="13">
        <f t="shared" si="22"/>
        <v>0</v>
      </c>
      <c r="AB55" s="13">
        <f t="shared" si="23"/>
        <v>0</v>
      </c>
      <c r="AD55" s="13">
        <v>21</v>
      </c>
      <c r="AE55" s="13">
        <f>G55*0.664901299951854</f>
        <v>0</v>
      </c>
      <c r="AF55" s="13">
        <f>G55*(1-0.664901299951854)</f>
        <v>0</v>
      </c>
    </row>
    <row r="56" spans="1:32" ht="12.75">
      <c r="A56" s="5" t="s">
        <v>40</v>
      </c>
      <c r="B56" s="5" t="s">
        <v>156</v>
      </c>
      <c r="C56" s="104" t="s">
        <v>192</v>
      </c>
      <c r="D56" s="5" t="s">
        <v>355</v>
      </c>
      <c r="E56" s="5" t="s">
        <v>496</v>
      </c>
      <c r="F56" s="13">
        <v>110</v>
      </c>
      <c r="H56" s="13">
        <f t="shared" si="16"/>
        <v>0</v>
      </c>
      <c r="I56" s="13">
        <f t="shared" si="17"/>
        <v>0</v>
      </c>
      <c r="J56" s="13">
        <f t="shared" si="18"/>
        <v>0</v>
      </c>
      <c r="K56" s="13">
        <v>0</v>
      </c>
      <c r="L56" s="13">
        <f t="shared" si="19"/>
        <v>0</v>
      </c>
      <c r="N56" s="25" t="s">
        <v>522</v>
      </c>
      <c r="O56" s="13">
        <f t="shared" si="20"/>
        <v>0</v>
      </c>
      <c r="Z56" s="13">
        <f t="shared" si="21"/>
        <v>0</v>
      </c>
      <c r="AA56" s="13">
        <f t="shared" si="22"/>
        <v>0</v>
      </c>
      <c r="AB56" s="13">
        <f t="shared" si="23"/>
        <v>0</v>
      </c>
      <c r="AD56" s="13">
        <v>21</v>
      </c>
      <c r="AE56" s="13">
        <f>G56*1</f>
        <v>0</v>
      </c>
      <c r="AF56" s="13">
        <f>G56*(1-1)</f>
        <v>0</v>
      </c>
    </row>
    <row r="57" spans="1:32" ht="12.75">
      <c r="A57" s="5" t="s">
        <v>41</v>
      </c>
      <c r="B57" s="5" t="s">
        <v>156</v>
      </c>
      <c r="C57" s="104" t="s">
        <v>193</v>
      </c>
      <c r="D57" s="5" t="s">
        <v>356</v>
      </c>
      <c r="E57" s="5" t="s">
        <v>497</v>
      </c>
      <c r="F57" s="13">
        <v>6</v>
      </c>
      <c r="H57" s="13">
        <f t="shared" si="16"/>
        <v>0</v>
      </c>
      <c r="I57" s="13">
        <f t="shared" si="17"/>
        <v>0</v>
      </c>
      <c r="J57" s="13">
        <f t="shared" si="18"/>
        <v>0</v>
      </c>
      <c r="K57" s="13">
        <v>0</v>
      </c>
      <c r="L57" s="13">
        <f t="shared" si="19"/>
        <v>0</v>
      </c>
      <c r="N57" s="25" t="s">
        <v>522</v>
      </c>
      <c r="O57" s="13">
        <f t="shared" si="20"/>
        <v>0</v>
      </c>
      <c r="Z57" s="13">
        <f t="shared" si="21"/>
        <v>0</v>
      </c>
      <c r="AA57" s="13">
        <f t="shared" si="22"/>
        <v>0</v>
      </c>
      <c r="AB57" s="13">
        <f t="shared" si="23"/>
        <v>0</v>
      </c>
      <c r="AD57" s="13">
        <v>21</v>
      </c>
      <c r="AE57" s="13">
        <f>G57*1</f>
        <v>0</v>
      </c>
      <c r="AF57" s="13">
        <f>G57*(1-1)</f>
        <v>0</v>
      </c>
    </row>
    <row r="58" spans="1:32" ht="12.75">
      <c r="A58" s="5" t="s">
        <v>42</v>
      </c>
      <c r="B58" s="5" t="s">
        <v>156</v>
      </c>
      <c r="C58" s="104" t="s">
        <v>194</v>
      </c>
      <c r="D58" s="5" t="s">
        <v>357</v>
      </c>
      <c r="E58" s="5" t="s">
        <v>493</v>
      </c>
      <c r="F58" s="13">
        <v>6</v>
      </c>
      <c r="H58" s="13">
        <f t="shared" si="16"/>
        <v>0</v>
      </c>
      <c r="I58" s="13">
        <f t="shared" si="17"/>
        <v>0</v>
      </c>
      <c r="J58" s="13">
        <f t="shared" si="18"/>
        <v>0</v>
      </c>
      <c r="K58" s="13">
        <v>0.00016</v>
      </c>
      <c r="L58" s="13">
        <f t="shared" si="19"/>
        <v>0.0009600000000000001</v>
      </c>
      <c r="N58" s="25" t="s">
        <v>522</v>
      </c>
      <c r="O58" s="13">
        <f t="shared" si="20"/>
        <v>0</v>
      </c>
      <c r="Z58" s="13">
        <f t="shared" si="21"/>
        <v>0</v>
      </c>
      <c r="AA58" s="13">
        <f t="shared" si="22"/>
        <v>0</v>
      </c>
      <c r="AB58" s="13">
        <f t="shared" si="23"/>
        <v>0</v>
      </c>
      <c r="AD58" s="13">
        <v>21</v>
      </c>
      <c r="AE58" s="13">
        <f>G58*1</f>
        <v>0</v>
      </c>
      <c r="AF58" s="13">
        <f>G58*(1-1)</f>
        <v>0</v>
      </c>
    </row>
    <row r="59" spans="1:32" ht="12.75">
      <c r="A59" s="5" t="s">
        <v>43</v>
      </c>
      <c r="B59" s="5" t="s">
        <v>156</v>
      </c>
      <c r="C59" s="104" t="s">
        <v>195</v>
      </c>
      <c r="D59" s="5" t="s">
        <v>358</v>
      </c>
      <c r="E59" s="5" t="s">
        <v>492</v>
      </c>
      <c r="F59" s="13">
        <v>24.6</v>
      </c>
      <c r="H59" s="13">
        <f t="shared" si="16"/>
        <v>0</v>
      </c>
      <c r="I59" s="13">
        <f t="shared" si="17"/>
        <v>0</v>
      </c>
      <c r="J59" s="13">
        <f t="shared" si="18"/>
        <v>0</v>
      </c>
      <c r="K59" s="13">
        <v>0</v>
      </c>
      <c r="L59" s="13">
        <f t="shared" si="19"/>
        <v>0</v>
      </c>
      <c r="N59" s="25" t="s">
        <v>7</v>
      </c>
      <c r="O59" s="13">
        <f t="shared" si="20"/>
        <v>0</v>
      </c>
      <c r="Z59" s="13">
        <f t="shared" si="21"/>
        <v>0</v>
      </c>
      <c r="AA59" s="13">
        <f t="shared" si="22"/>
        <v>0</v>
      </c>
      <c r="AB59" s="13">
        <f t="shared" si="23"/>
        <v>0</v>
      </c>
      <c r="AD59" s="13">
        <v>21</v>
      </c>
      <c r="AE59" s="13">
        <f>G59*0</f>
        <v>0</v>
      </c>
      <c r="AF59" s="13">
        <f>G59*(1-0)</f>
        <v>0</v>
      </c>
    </row>
    <row r="60" spans="1:37" ht="12.75">
      <c r="A60" s="4"/>
      <c r="B60" s="4"/>
      <c r="C60" s="11" t="s">
        <v>51</v>
      </c>
      <c r="D60" s="44" t="s">
        <v>359</v>
      </c>
      <c r="E60" s="45"/>
      <c r="F60" s="45"/>
      <c r="G60" s="45"/>
      <c r="H60" s="27">
        <f>SUM(H61:H62)</f>
        <v>0</v>
      </c>
      <c r="I60" s="27">
        <f>SUM(I61:I62)</f>
        <v>0</v>
      </c>
      <c r="J60" s="27">
        <f>H60+I60</f>
        <v>0</v>
      </c>
      <c r="K60" s="22"/>
      <c r="L60" s="27">
        <f>SUM(L61:L62)</f>
        <v>10.718</v>
      </c>
      <c r="P60" s="27">
        <f>IF(Q60="PR",J60,SUM(O61:O62))</f>
        <v>0</v>
      </c>
      <c r="Q60" s="22" t="s">
        <v>525</v>
      </c>
      <c r="R60" s="27">
        <f>IF(Q60="HS",H60,0)</f>
        <v>0</v>
      </c>
      <c r="S60" s="27">
        <f>IF(Q60="HS",I60-P60,0)</f>
        <v>0</v>
      </c>
      <c r="T60" s="27">
        <f>IF(Q60="PS",H60,0)</f>
        <v>0</v>
      </c>
      <c r="U60" s="27">
        <f>IF(Q60="PS",I60-P60,0)</f>
        <v>0</v>
      </c>
      <c r="V60" s="27">
        <f>IF(Q60="MP",H60,0)</f>
        <v>0</v>
      </c>
      <c r="W60" s="27">
        <f>IF(Q60="MP",I60-P60,0)</f>
        <v>0</v>
      </c>
      <c r="X60" s="27">
        <f>IF(Q60="OM",H60,0)</f>
        <v>0</v>
      </c>
      <c r="Y60" s="22" t="s">
        <v>156</v>
      </c>
      <c r="AI60" s="27">
        <f>SUM(Z61:Z62)</f>
        <v>0</v>
      </c>
      <c r="AJ60" s="27">
        <f>SUM(AA61:AA62)</f>
        <v>0</v>
      </c>
      <c r="AK60" s="27">
        <f>SUM(AB61:AB62)</f>
        <v>0</v>
      </c>
    </row>
    <row r="61" spans="1:32" ht="12.75">
      <c r="A61" s="5" t="s">
        <v>44</v>
      </c>
      <c r="B61" s="5" t="s">
        <v>156</v>
      </c>
      <c r="C61" s="104" t="s">
        <v>196</v>
      </c>
      <c r="D61" s="5" t="s">
        <v>360</v>
      </c>
      <c r="E61" s="5" t="s">
        <v>493</v>
      </c>
      <c r="F61" s="13">
        <v>60</v>
      </c>
      <c r="H61" s="13">
        <f>ROUND(F61*AE61,2)</f>
        <v>0</v>
      </c>
      <c r="I61" s="13">
        <f>J61-H61</f>
        <v>0</v>
      </c>
      <c r="J61" s="13">
        <f>ROUND(F61*G61,2)</f>
        <v>0</v>
      </c>
      <c r="K61" s="13">
        <v>0.0005</v>
      </c>
      <c r="L61" s="13">
        <f>F61*K61</f>
        <v>0.03</v>
      </c>
      <c r="N61" s="25" t="s">
        <v>522</v>
      </c>
      <c r="O61" s="13">
        <f>IF(N61="5",I61,0)</f>
        <v>0</v>
      </c>
      <c r="Z61" s="13">
        <f>IF(AD61=0,J61,0)</f>
        <v>0</v>
      </c>
      <c r="AA61" s="13">
        <f>IF(AD61=15,J61,0)</f>
        <v>0</v>
      </c>
      <c r="AB61" s="13">
        <f>IF(AD61=21,J61,0)</f>
        <v>0</v>
      </c>
      <c r="AD61" s="13">
        <v>21</v>
      </c>
      <c r="AE61" s="13">
        <f>G61*1</f>
        <v>0</v>
      </c>
      <c r="AF61" s="13">
        <f>G61*(1-1)</f>
        <v>0</v>
      </c>
    </row>
    <row r="62" spans="1:32" ht="12.75">
      <c r="A62" s="5" t="s">
        <v>45</v>
      </c>
      <c r="B62" s="5" t="s">
        <v>156</v>
      </c>
      <c r="C62" s="104" t="s">
        <v>197</v>
      </c>
      <c r="D62" s="5" t="s">
        <v>361</v>
      </c>
      <c r="E62" s="5" t="s">
        <v>492</v>
      </c>
      <c r="F62" s="13">
        <v>6.4</v>
      </c>
      <c r="H62" s="13">
        <f>ROUND(F62*AE62,2)</f>
        <v>0</v>
      </c>
      <c r="I62" s="13">
        <f>J62-H62</f>
        <v>0</v>
      </c>
      <c r="J62" s="13">
        <f>ROUND(F62*G62,2)</f>
        <v>0</v>
      </c>
      <c r="K62" s="13">
        <v>1.67</v>
      </c>
      <c r="L62" s="13">
        <f>F62*K62</f>
        <v>10.688</v>
      </c>
      <c r="N62" s="25" t="s">
        <v>522</v>
      </c>
      <c r="O62" s="13">
        <f>IF(N62="5",I62,0)</f>
        <v>0</v>
      </c>
      <c r="Z62" s="13">
        <f>IF(AD62=0,J62,0)</f>
        <v>0</v>
      </c>
      <c r="AA62" s="13">
        <f>IF(AD62=15,J62,0)</f>
        <v>0</v>
      </c>
      <c r="AB62" s="13">
        <f>IF(AD62=21,J62,0)</f>
        <v>0</v>
      </c>
      <c r="AD62" s="13">
        <v>21</v>
      </c>
      <c r="AE62" s="13">
        <f>G62*1</f>
        <v>0</v>
      </c>
      <c r="AF62" s="13">
        <f>G62*(1-1)</f>
        <v>0</v>
      </c>
    </row>
    <row r="63" spans="1:37" ht="12.75">
      <c r="A63" s="4"/>
      <c r="B63" s="4"/>
      <c r="C63" s="11" t="s">
        <v>69</v>
      </c>
      <c r="D63" s="44" t="s">
        <v>362</v>
      </c>
      <c r="E63" s="45"/>
      <c r="F63" s="45"/>
      <c r="G63" s="45"/>
      <c r="H63" s="27">
        <f>SUM(H64:H65)</f>
        <v>0</v>
      </c>
      <c r="I63" s="27">
        <f>SUM(I64:I65)</f>
        <v>0</v>
      </c>
      <c r="J63" s="27">
        <f>H63+I63</f>
        <v>0</v>
      </c>
      <c r="K63" s="22"/>
      <c r="L63" s="27">
        <f>SUM(L64:L65)</f>
        <v>68.3992</v>
      </c>
      <c r="P63" s="27">
        <f>IF(Q63="PR",J63,SUM(O64:O65))</f>
        <v>0</v>
      </c>
      <c r="Q63" s="22" t="s">
        <v>525</v>
      </c>
      <c r="R63" s="27">
        <f>IF(Q63="HS",H63,0)</f>
        <v>0</v>
      </c>
      <c r="S63" s="27">
        <f>IF(Q63="HS",I63-P63,0)</f>
        <v>0</v>
      </c>
      <c r="T63" s="27">
        <f>IF(Q63="PS",H63,0)</f>
        <v>0</v>
      </c>
      <c r="U63" s="27">
        <f>IF(Q63="PS",I63-P63,0)</f>
        <v>0</v>
      </c>
      <c r="V63" s="27">
        <f>IF(Q63="MP",H63,0)</f>
        <v>0</v>
      </c>
      <c r="W63" s="27">
        <f>IF(Q63="MP",I63-P63,0)</f>
        <v>0</v>
      </c>
      <c r="X63" s="27">
        <f>IF(Q63="OM",H63,0)</f>
        <v>0</v>
      </c>
      <c r="Y63" s="22" t="s">
        <v>156</v>
      </c>
      <c r="AI63" s="27">
        <f>SUM(Z64:Z65)</f>
        <v>0</v>
      </c>
      <c r="AJ63" s="27">
        <f>SUM(AA64:AA65)</f>
        <v>0</v>
      </c>
      <c r="AK63" s="27">
        <f>SUM(AB64:AB65)</f>
        <v>0</v>
      </c>
    </row>
    <row r="64" spans="1:32" ht="12.75">
      <c r="A64" s="5" t="s">
        <v>46</v>
      </c>
      <c r="B64" s="5" t="s">
        <v>156</v>
      </c>
      <c r="C64" s="104" t="s">
        <v>198</v>
      </c>
      <c r="D64" s="5" t="s">
        <v>363</v>
      </c>
      <c r="E64" s="5" t="s">
        <v>492</v>
      </c>
      <c r="F64" s="13">
        <v>4</v>
      </c>
      <c r="H64" s="13">
        <f>ROUND(F64*AE64,2)</f>
        <v>0</v>
      </c>
      <c r="I64" s="13">
        <f>J64-H64</f>
        <v>0</v>
      </c>
      <c r="J64" s="13">
        <f>ROUND(F64*G64,2)</f>
        <v>0</v>
      </c>
      <c r="K64" s="13">
        <v>2.4038</v>
      </c>
      <c r="L64" s="13">
        <f>F64*K64</f>
        <v>9.6152</v>
      </c>
      <c r="N64" s="25" t="s">
        <v>7</v>
      </c>
      <c r="O64" s="13">
        <f>IF(N64="5",I64,0)</f>
        <v>0</v>
      </c>
      <c r="Z64" s="13">
        <f>IF(AD64=0,J64,0)</f>
        <v>0</v>
      </c>
      <c r="AA64" s="13">
        <f>IF(AD64=15,J64,0)</f>
        <v>0</v>
      </c>
      <c r="AB64" s="13">
        <f>IF(AD64=21,J64,0)</f>
        <v>0</v>
      </c>
      <c r="AD64" s="13">
        <v>21</v>
      </c>
      <c r="AE64" s="13">
        <f>G64*0.769652848215162</f>
        <v>0</v>
      </c>
      <c r="AF64" s="13">
        <f>G64*(1-0.769652848215162)</f>
        <v>0</v>
      </c>
    </row>
    <row r="65" spans="1:32" ht="12.75">
      <c r="A65" s="5" t="s">
        <v>47</v>
      </c>
      <c r="B65" s="5" t="s">
        <v>156</v>
      </c>
      <c r="C65" s="104" t="s">
        <v>199</v>
      </c>
      <c r="D65" s="5" t="s">
        <v>364</v>
      </c>
      <c r="E65" s="5" t="s">
        <v>492</v>
      </c>
      <c r="F65" s="13">
        <v>32</v>
      </c>
      <c r="H65" s="13">
        <f>ROUND(F65*AE65,2)</f>
        <v>0</v>
      </c>
      <c r="I65" s="13">
        <f>J65-H65</f>
        <v>0</v>
      </c>
      <c r="J65" s="13">
        <f>ROUND(F65*G65,2)</f>
        <v>0</v>
      </c>
      <c r="K65" s="13">
        <v>1.837</v>
      </c>
      <c r="L65" s="13">
        <f>F65*K65</f>
        <v>58.784</v>
      </c>
      <c r="N65" s="25" t="s">
        <v>7</v>
      </c>
      <c r="O65" s="13">
        <f>IF(N65="5",I65,0)</f>
        <v>0</v>
      </c>
      <c r="Z65" s="13">
        <f>IF(AD65=0,J65,0)</f>
        <v>0</v>
      </c>
      <c r="AA65" s="13">
        <f>IF(AD65=15,J65,0)</f>
        <v>0</v>
      </c>
      <c r="AB65" s="13">
        <f>IF(AD65=21,J65,0)</f>
        <v>0</v>
      </c>
      <c r="AD65" s="13">
        <v>21</v>
      </c>
      <c r="AE65" s="13">
        <f>G65*0.594544570938156</f>
        <v>0</v>
      </c>
      <c r="AF65" s="13">
        <f>G65*(1-0.594544570938156)</f>
        <v>0</v>
      </c>
    </row>
    <row r="66" spans="1:37" ht="12.75">
      <c r="A66" s="4"/>
      <c r="B66" s="4"/>
      <c r="C66" s="11" t="s">
        <v>200</v>
      </c>
      <c r="D66" s="44" t="s">
        <v>365</v>
      </c>
      <c r="E66" s="45"/>
      <c r="F66" s="45"/>
      <c r="G66" s="45"/>
      <c r="H66" s="27">
        <f>SUM(H67:H70)</f>
        <v>0</v>
      </c>
      <c r="I66" s="27">
        <f>SUM(I67:I70)</f>
        <v>0</v>
      </c>
      <c r="J66" s="27">
        <f>H66+I66</f>
        <v>0</v>
      </c>
      <c r="K66" s="22"/>
      <c r="L66" s="27">
        <f>SUM(L67:L70)</f>
        <v>0.9374399999999999</v>
      </c>
      <c r="P66" s="27">
        <f>IF(Q66="PR",J66,SUM(O67:O70))</f>
        <v>0</v>
      </c>
      <c r="Q66" s="22" t="s">
        <v>526</v>
      </c>
      <c r="R66" s="27">
        <f>IF(Q66="HS",H66,0)</f>
        <v>0</v>
      </c>
      <c r="S66" s="27">
        <f>IF(Q66="HS",I66-P66,0)</f>
        <v>0</v>
      </c>
      <c r="T66" s="27">
        <f>IF(Q66="PS",H66,0)</f>
        <v>0</v>
      </c>
      <c r="U66" s="27">
        <f>IF(Q66="PS",I66-P66,0)</f>
        <v>0</v>
      </c>
      <c r="V66" s="27">
        <f>IF(Q66="MP",H66,0)</f>
        <v>0</v>
      </c>
      <c r="W66" s="27">
        <f>IF(Q66="MP",I66-P66,0)</f>
        <v>0</v>
      </c>
      <c r="X66" s="27">
        <f>IF(Q66="OM",H66,0)</f>
        <v>0</v>
      </c>
      <c r="Y66" s="22" t="s">
        <v>156</v>
      </c>
      <c r="AI66" s="27">
        <f>SUM(Z67:Z70)</f>
        <v>0</v>
      </c>
      <c r="AJ66" s="27">
        <f>SUM(AA67:AA70)</f>
        <v>0</v>
      </c>
      <c r="AK66" s="27">
        <f>SUM(AB67:AB70)</f>
        <v>0</v>
      </c>
    </row>
    <row r="67" spans="1:32" ht="12.75">
      <c r="A67" s="5" t="s">
        <v>48</v>
      </c>
      <c r="B67" s="5" t="s">
        <v>156</v>
      </c>
      <c r="C67" s="104" t="s">
        <v>201</v>
      </c>
      <c r="D67" s="5" t="s">
        <v>366</v>
      </c>
      <c r="E67" s="5" t="s">
        <v>490</v>
      </c>
      <c r="F67" s="13">
        <v>102</v>
      </c>
      <c r="H67" s="13">
        <f>ROUND(F67*AE67,2)</f>
        <v>0</v>
      </c>
      <c r="I67" s="13">
        <f>J67-H67</f>
        <v>0</v>
      </c>
      <c r="J67" s="13">
        <f>ROUND(F67*G67,2)</f>
        <v>0</v>
      </c>
      <c r="K67" s="13">
        <v>0.001</v>
      </c>
      <c r="L67" s="13">
        <f>F67*K67</f>
        <v>0.10200000000000001</v>
      </c>
      <c r="N67" s="25" t="s">
        <v>522</v>
      </c>
      <c r="O67" s="13">
        <f>IF(N67="5",I67,0)</f>
        <v>0</v>
      </c>
      <c r="Z67" s="13">
        <f>IF(AD67=0,J67,0)</f>
        <v>0</v>
      </c>
      <c r="AA67" s="13">
        <f>IF(AD67=15,J67,0)</f>
        <v>0</v>
      </c>
      <c r="AB67" s="13">
        <f>IF(AD67=21,J67,0)</f>
        <v>0</v>
      </c>
      <c r="AD67" s="13">
        <v>21</v>
      </c>
      <c r="AE67" s="13">
        <f>G67*1</f>
        <v>0</v>
      </c>
      <c r="AF67" s="13">
        <f>G67*(1-1)</f>
        <v>0</v>
      </c>
    </row>
    <row r="68" spans="1:32" ht="12.75">
      <c r="A68" s="5" t="s">
        <v>49</v>
      </c>
      <c r="B68" s="5" t="s">
        <v>156</v>
      </c>
      <c r="C68" s="104" t="s">
        <v>201</v>
      </c>
      <c r="D68" s="5" t="s">
        <v>367</v>
      </c>
      <c r="E68" s="5" t="s">
        <v>490</v>
      </c>
      <c r="F68" s="13">
        <v>22</v>
      </c>
      <c r="H68" s="13">
        <f>ROUND(F68*AE68,2)</f>
        <v>0</v>
      </c>
      <c r="I68" s="13">
        <f>J68-H68</f>
        <v>0</v>
      </c>
      <c r="J68" s="13">
        <f>ROUND(F68*G68,2)</f>
        <v>0</v>
      </c>
      <c r="K68" s="13">
        <v>0.001</v>
      </c>
      <c r="L68" s="13">
        <f>F68*K68</f>
        <v>0.022</v>
      </c>
      <c r="N68" s="25" t="s">
        <v>522</v>
      </c>
      <c r="O68" s="13">
        <f>IF(N68="5",I68,0)</f>
        <v>0</v>
      </c>
      <c r="Z68" s="13">
        <f>IF(AD68=0,J68,0)</f>
        <v>0</v>
      </c>
      <c r="AA68" s="13">
        <f>IF(AD68=15,J68,0)</f>
        <v>0</v>
      </c>
      <c r="AB68" s="13">
        <f>IF(AD68=21,J68,0)</f>
        <v>0</v>
      </c>
      <c r="AD68" s="13">
        <v>21</v>
      </c>
      <c r="AE68" s="13">
        <f>G68*1</f>
        <v>0</v>
      </c>
      <c r="AF68" s="13">
        <f>G68*(1-1)</f>
        <v>0</v>
      </c>
    </row>
    <row r="69" spans="1:32" ht="12.75">
      <c r="A69" s="5" t="s">
        <v>50</v>
      </c>
      <c r="B69" s="5" t="s">
        <v>156</v>
      </c>
      <c r="C69" s="104" t="s">
        <v>202</v>
      </c>
      <c r="D69" s="5" t="s">
        <v>368</v>
      </c>
      <c r="E69" s="5" t="s">
        <v>490</v>
      </c>
      <c r="F69" s="13">
        <v>102</v>
      </c>
      <c r="H69" s="13">
        <f>ROUND(F69*AE69,2)</f>
        <v>0</v>
      </c>
      <c r="I69" s="13">
        <f>J69-H69</f>
        <v>0</v>
      </c>
      <c r="J69" s="13">
        <f>ROUND(F69*G69,2)</f>
        <v>0</v>
      </c>
      <c r="K69" s="13">
        <v>0.00656</v>
      </c>
      <c r="L69" s="13">
        <f>F69*K69</f>
        <v>0.6691199999999999</v>
      </c>
      <c r="N69" s="25" t="s">
        <v>7</v>
      </c>
      <c r="O69" s="13">
        <f>IF(N69="5",I69,0)</f>
        <v>0</v>
      </c>
      <c r="Z69" s="13">
        <f>IF(AD69=0,J69,0)</f>
        <v>0</v>
      </c>
      <c r="AA69" s="13">
        <f>IF(AD69=15,J69,0)</f>
        <v>0</v>
      </c>
      <c r="AB69" s="13">
        <f>IF(AD69=21,J69,0)</f>
        <v>0</v>
      </c>
      <c r="AD69" s="13">
        <v>21</v>
      </c>
      <c r="AE69" s="13">
        <f>G69*0.672034336377449</f>
        <v>0</v>
      </c>
      <c r="AF69" s="13">
        <f>G69*(1-0.672034336377449)</f>
        <v>0</v>
      </c>
    </row>
    <row r="70" spans="1:32" ht="12.75">
      <c r="A70" s="5" t="s">
        <v>51</v>
      </c>
      <c r="B70" s="5" t="s">
        <v>156</v>
      </c>
      <c r="C70" s="104" t="s">
        <v>202</v>
      </c>
      <c r="D70" s="5" t="s">
        <v>369</v>
      </c>
      <c r="E70" s="5" t="s">
        <v>490</v>
      </c>
      <c r="F70" s="13">
        <v>22</v>
      </c>
      <c r="H70" s="13">
        <f>ROUND(F70*AE70,2)</f>
        <v>0</v>
      </c>
      <c r="I70" s="13">
        <f>J70-H70</f>
        <v>0</v>
      </c>
      <c r="J70" s="13">
        <f>ROUND(F70*G70,2)</f>
        <v>0</v>
      </c>
      <c r="K70" s="13">
        <v>0.00656</v>
      </c>
      <c r="L70" s="13">
        <f>F70*K70</f>
        <v>0.14432</v>
      </c>
      <c r="N70" s="25" t="s">
        <v>7</v>
      </c>
      <c r="O70" s="13">
        <f>IF(N70="5",I70,0)</f>
        <v>0</v>
      </c>
      <c r="Z70" s="13">
        <f>IF(AD70=0,J70,0)</f>
        <v>0</v>
      </c>
      <c r="AA70" s="13">
        <f>IF(AD70=15,J70,0)</f>
        <v>0</v>
      </c>
      <c r="AB70" s="13">
        <f>IF(AD70=21,J70,0)</f>
        <v>0</v>
      </c>
      <c r="AD70" s="13">
        <v>21</v>
      </c>
      <c r="AE70" s="13">
        <f>G70*0.672034336377449</f>
        <v>0</v>
      </c>
      <c r="AF70" s="13">
        <f>G70*(1-0.672034336377449)</f>
        <v>0</v>
      </c>
    </row>
    <row r="71" spans="1:37" ht="12.75">
      <c r="A71" s="4"/>
      <c r="B71" s="4"/>
      <c r="C71" s="11" t="s">
        <v>203</v>
      </c>
      <c r="D71" s="44" t="s">
        <v>370</v>
      </c>
      <c r="E71" s="45"/>
      <c r="F71" s="45"/>
      <c r="G71" s="45"/>
      <c r="H71" s="27">
        <f>SUM(H72:H76)</f>
        <v>0</v>
      </c>
      <c r="I71" s="27">
        <f>SUM(I72:I76)</f>
        <v>0</v>
      </c>
      <c r="J71" s="27">
        <f>H71+I71</f>
        <v>0</v>
      </c>
      <c r="K71" s="22"/>
      <c r="L71" s="27">
        <f>SUM(L72:L76)</f>
        <v>0.41957999999999995</v>
      </c>
      <c r="P71" s="27">
        <f>IF(Q71="PR",J71,SUM(O72:O76))</f>
        <v>0</v>
      </c>
      <c r="Q71" s="22" t="s">
        <v>526</v>
      </c>
      <c r="R71" s="27">
        <f>IF(Q71="HS",H71,0)</f>
        <v>0</v>
      </c>
      <c r="S71" s="27">
        <f>IF(Q71="HS",I71-P71,0)</f>
        <v>0</v>
      </c>
      <c r="T71" s="27">
        <f>IF(Q71="PS",H71,0)</f>
        <v>0</v>
      </c>
      <c r="U71" s="27">
        <f>IF(Q71="PS",I71-P71,0)</f>
        <v>0</v>
      </c>
      <c r="V71" s="27">
        <f>IF(Q71="MP",H71,0)</f>
        <v>0</v>
      </c>
      <c r="W71" s="27">
        <f>IF(Q71="MP",I71-P71,0)</f>
        <v>0</v>
      </c>
      <c r="X71" s="27">
        <f>IF(Q71="OM",H71,0)</f>
        <v>0</v>
      </c>
      <c r="Y71" s="22" t="s">
        <v>156</v>
      </c>
      <c r="AI71" s="27">
        <f>SUM(Z72:Z76)</f>
        <v>0</v>
      </c>
      <c r="AJ71" s="27">
        <f>SUM(AA72:AA76)</f>
        <v>0</v>
      </c>
      <c r="AK71" s="27">
        <f>SUM(AB72:AB76)</f>
        <v>0</v>
      </c>
    </row>
    <row r="72" spans="1:32" ht="12.75">
      <c r="A72" s="5" t="s">
        <v>52</v>
      </c>
      <c r="B72" s="5" t="s">
        <v>156</v>
      </c>
      <c r="C72" s="5" t="s">
        <v>204</v>
      </c>
      <c r="D72" s="5" t="s">
        <v>371</v>
      </c>
      <c r="E72" s="5" t="s">
        <v>493</v>
      </c>
      <c r="F72" s="13">
        <v>56</v>
      </c>
      <c r="H72" s="13">
        <f>ROUND(F72*AE72,2)</f>
        <v>0</v>
      </c>
      <c r="I72" s="13">
        <f>J72-H72</f>
        <v>0</v>
      </c>
      <c r="J72" s="13">
        <f>ROUND(F72*G72,2)</f>
        <v>0</v>
      </c>
      <c r="K72" s="13">
        <v>0.00339</v>
      </c>
      <c r="L72" s="13">
        <f>F72*K72</f>
        <v>0.18983999999999998</v>
      </c>
      <c r="N72" s="25" t="s">
        <v>7</v>
      </c>
      <c r="O72" s="13">
        <f>IF(N72="5",I72,0)</f>
        <v>0</v>
      </c>
      <c r="Z72" s="13">
        <f>IF(AD72=0,J72,0)</f>
        <v>0</v>
      </c>
      <c r="AA72" s="13">
        <f>IF(AD72=15,J72,0)</f>
        <v>0</v>
      </c>
      <c r="AB72" s="13">
        <f>IF(AD72=21,J72,0)</f>
        <v>0</v>
      </c>
      <c r="AD72" s="13">
        <v>21</v>
      </c>
      <c r="AE72" s="13">
        <f>G72*0.309055015844979</f>
        <v>0</v>
      </c>
      <c r="AF72" s="13">
        <f>G72*(1-0.309055015844979)</f>
        <v>0</v>
      </c>
    </row>
    <row r="73" spans="1:32" ht="12.75">
      <c r="A73" s="5" t="s">
        <v>53</v>
      </c>
      <c r="B73" s="5" t="s">
        <v>156</v>
      </c>
      <c r="C73" s="5" t="s">
        <v>205</v>
      </c>
      <c r="D73" s="5" t="s">
        <v>372</v>
      </c>
      <c r="E73" s="5" t="s">
        <v>498</v>
      </c>
      <c r="F73" s="13">
        <v>12</v>
      </c>
      <c r="H73" s="13">
        <f>ROUND(F73*AE73,2)</f>
        <v>0</v>
      </c>
      <c r="I73" s="13">
        <f>J73-H73</f>
        <v>0</v>
      </c>
      <c r="J73" s="13">
        <f>ROUND(F73*G73,2)</f>
        <v>0</v>
      </c>
      <c r="K73" s="13">
        <v>0</v>
      </c>
      <c r="L73" s="13">
        <f>F73*K73</f>
        <v>0</v>
      </c>
      <c r="N73" s="25" t="s">
        <v>7</v>
      </c>
      <c r="O73" s="13">
        <f>IF(N73="5",I73,0)</f>
        <v>0</v>
      </c>
      <c r="Z73" s="13">
        <f>IF(AD73=0,J73,0)</f>
        <v>0</v>
      </c>
      <c r="AA73" s="13">
        <f>IF(AD73=15,J73,0)</f>
        <v>0</v>
      </c>
      <c r="AB73" s="13">
        <f>IF(AD73=21,J73,0)</f>
        <v>0</v>
      </c>
      <c r="AD73" s="13">
        <v>21</v>
      </c>
      <c r="AE73" s="13">
        <f>G73*0.375</f>
        <v>0</v>
      </c>
      <c r="AF73" s="13">
        <f>G73*(1-0.375)</f>
        <v>0</v>
      </c>
    </row>
    <row r="74" spans="1:32" ht="12.75">
      <c r="A74" s="5" t="s">
        <v>54</v>
      </c>
      <c r="B74" s="5" t="s">
        <v>156</v>
      </c>
      <c r="C74" s="5" t="s">
        <v>205</v>
      </c>
      <c r="D74" s="5" t="s">
        <v>373</v>
      </c>
      <c r="E74" s="5" t="s">
        <v>498</v>
      </c>
      <c r="F74" s="13">
        <v>52</v>
      </c>
      <c r="H74" s="13">
        <f>ROUND(F74*AE74,2)</f>
        <v>0</v>
      </c>
      <c r="I74" s="13">
        <f>J74-H74</f>
        <v>0</v>
      </c>
      <c r="J74" s="13">
        <f>ROUND(F74*G74,2)</f>
        <v>0</v>
      </c>
      <c r="K74" s="13">
        <v>0</v>
      </c>
      <c r="L74" s="13">
        <f>F74*K74</f>
        <v>0</v>
      </c>
      <c r="N74" s="25" t="s">
        <v>7</v>
      </c>
      <c r="O74" s="13">
        <f>IF(N74="5",I74,0)</f>
        <v>0</v>
      </c>
      <c r="Z74" s="13">
        <f>IF(AD74=0,J74,0)</f>
        <v>0</v>
      </c>
      <c r="AA74" s="13">
        <f>IF(AD74=15,J74,0)</f>
        <v>0</v>
      </c>
      <c r="AB74" s="13">
        <f>IF(AD74=21,J74,0)</f>
        <v>0</v>
      </c>
      <c r="AD74" s="13">
        <v>21</v>
      </c>
      <c r="AE74" s="13">
        <f>G74*0.375</f>
        <v>0</v>
      </c>
      <c r="AF74" s="13">
        <f>G74*(1-0.375)</f>
        <v>0</v>
      </c>
    </row>
    <row r="75" spans="1:32" ht="12.75">
      <c r="A75" s="5" t="s">
        <v>55</v>
      </c>
      <c r="B75" s="5" t="s">
        <v>156</v>
      </c>
      <c r="C75" s="5" t="s">
        <v>206</v>
      </c>
      <c r="D75" s="5" t="s">
        <v>374</v>
      </c>
      <c r="E75" s="5" t="s">
        <v>493</v>
      </c>
      <c r="F75" s="13">
        <v>42</v>
      </c>
      <c r="H75" s="13">
        <f>ROUND(F75*AE75,2)</f>
        <v>0</v>
      </c>
      <c r="I75" s="13">
        <f>J75-H75</f>
        <v>0</v>
      </c>
      <c r="J75" s="13">
        <f>ROUND(F75*G75,2)</f>
        <v>0</v>
      </c>
      <c r="K75" s="13">
        <v>0.0052</v>
      </c>
      <c r="L75" s="13">
        <f>F75*K75</f>
        <v>0.21839999999999998</v>
      </c>
      <c r="N75" s="25" t="s">
        <v>7</v>
      </c>
      <c r="O75" s="13">
        <f>IF(N75="5",I75,0)</f>
        <v>0</v>
      </c>
      <c r="Z75" s="13">
        <f>IF(AD75=0,J75,0)</f>
        <v>0</v>
      </c>
      <c r="AA75" s="13">
        <f>IF(AD75=15,J75,0)</f>
        <v>0</v>
      </c>
      <c r="AB75" s="13">
        <f>IF(AD75=21,J75,0)</f>
        <v>0</v>
      </c>
      <c r="AD75" s="13">
        <v>21</v>
      </c>
      <c r="AE75" s="13">
        <f>G75*0.57553755012459</f>
        <v>0</v>
      </c>
      <c r="AF75" s="13">
        <f>G75*(1-0.57553755012459)</f>
        <v>0</v>
      </c>
    </row>
    <row r="76" spans="1:32" ht="12.75">
      <c r="A76" s="5" t="s">
        <v>56</v>
      </c>
      <c r="B76" s="5" t="s">
        <v>156</v>
      </c>
      <c r="C76" s="5" t="s">
        <v>207</v>
      </c>
      <c r="D76" s="5" t="s">
        <v>375</v>
      </c>
      <c r="E76" s="5" t="s">
        <v>493</v>
      </c>
      <c r="F76" s="13">
        <v>42</v>
      </c>
      <c r="H76" s="13">
        <f>ROUND(F76*AE76,2)</f>
        <v>0</v>
      </c>
      <c r="I76" s="13">
        <f>J76-H76</f>
        <v>0</v>
      </c>
      <c r="J76" s="13">
        <f>ROUND(F76*G76,2)</f>
        <v>0</v>
      </c>
      <c r="K76" s="13">
        <v>0.00027</v>
      </c>
      <c r="L76" s="13">
        <f>F76*K76</f>
        <v>0.01134</v>
      </c>
      <c r="N76" s="25" t="s">
        <v>7</v>
      </c>
      <c r="O76" s="13">
        <f>IF(N76="5",I76,0)</f>
        <v>0</v>
      </c>
      <c r="Z76" s="13">
        <f>IF(AD76=0,J76,0)</f>
        <v>0</v>
      </c>
      <c r="AA76" s="13">
        <f>IF(AD76=15,J76,0)</f>
        <v>0</v>
      </c>
      <c r="AB76" s="13">
        <f>IF(AD76=21,J76,0)</f>
        <v>0</v>
      </c>
      <c r="AD76" s="13">
        <v>21</v>
      </c>
      <c r="AE76" s="13">
        <f>G76*0.0165474060822898</f>
        <v>0</v>
      </c>
      <c r="AF76" s="13">
        <f>G76*(1-0.0165474060822898)</f>
        <v>0</v>
      </c>
    </row>
    <row r="77" spans="1:37" ht="12.75">
      <c r="A77" s="4"/>
      <c r="B77" s="4"/>
      <c r="C77" s="11" t="s">
        <v>100</v>
      </c>
      <c r="D77" s="44" t="s">
        <v>376</v>
      </c>
      <c r="E77" s="45"/>
      <c r="F77" s="45"/>
      <c r="G77" s="45"/>
      <c r="H77" s="27">
        <f>SUM(H78:H80)</f>
        <v>0</v>
      </c>
      <c r="I77" s="27">
        <f>SUM(I78:I80)</f>
        <v>0</v>
      </c>
      <c r="J77" s="27">
        <f>H77+I77</f>
        <v>0</v>
      </c>
      <c r="K77" s="22"/>
      <c r="L77" s="27">
        <f>SUM(L78:L80)</f>
        <v>28.373</v>
      </c>
      <c r="P77" s="27">
        <f>IF(Q77="PR",J77,SUM(O78:O80))</f>
        <v>0</v>
      </c>
      <c r="Q77" s="22" t="s">
        <v>525</v>
      </c>
      <c r="R77" s="27">
        <f>IF(Q77="HS",H77,0)</f>
        <v>0</v>
      </c>
      <c r="S77" s="27">
        <f>IF(Q77="HS",I77-P77,0)</f>
        <v>0</v>
      </c>
      <c r="T77" s="27">
        <f>IF(Q77="PS",H77,0)</f>
        <v>0</v>
      </c>
      <c r="U77" s="27">
        <f>IF(Q77="PS",I77-P77,0)</f>
        <v>0</v>
      </c>
      <c r="V77" s="27">
        <f>IF(Q77="MP",H77,0)</f>
        <v>0</v>
      </c>
      <c r="W77" s="27">
        <f>IF(Q77="MP",I77-P77,0)</f>
        <v>0</v>
      </c>
      <c r="X77" s="27">
        <f>IF(Q77="OM",H77,0)</f>
        <v>0</v>
      </c>
      <c r="Y77" s="22" t="s">
        <v>156</v>
      </c>
      <c r="AI77" s="27">
        <f>SUM(Z78:Z80)</f>
        <v>0</v>
      </c>
      <c r="AJ77" s="27">
        <f>SUM(AA78:AA80)</f>
        <v>0</v>
      </c>
      <c r="AK77" s="27">
        <f>SUM(AB78:AB80)</f>
        <v>0</v>
      </c>
    </row>
    <row r="78" spans="1:32" ht="12.75">
      <c r="A78" s="5" t="s">
        <v>57</v>
      </c>
      <c r="B78" s="5" t="s">
        <v>156</v>
      </c>
      <c r="C78" s="5" t="s">
        <v>208</v>
      </c>
      <c r="D78" s="5" t="s">
        <v>377</v>
      </c>
      <c r="E78" s="5" t="s">
        <v>490</v>
      </c>
      <c r="F78" s="13">
        <v>850</v>
      </c>
      <c r="H78" s="13">
        <f>ROUND(F78*AE78,2)</f>
        <v>0</v>
      </c>
      <c r="I78" s="13">
        <f>J78-H78</f>
        <v>0</v>
      </c>
      <c r="J78" s="13">
        <f>ROUND(F78*G78,2)</f>
        <v>0</v>
      </c>
      <c r="K78" s="13">
        <v>0.03338</v>
      </c>
      <c r="L78" s="13">
        <f>F78*K78</f>
        <v>28.373</v>
      </c>
      <c r="N78" s="25" t="s">
        <v>7</v>
      </c>
      <c r="O78" s="13">
        <f>IF(N78="5",I78,0)</f>
        <v>0</v>
      </c>
      <c r="Z78" s="13">
        <f>IF(AD78=0,J78,0)</f>
        <v>0</v>
      </c>
      <c r="AA78" s="13">
        <f>IF(AD78=15,J78,0)</f>
        <v>0</v>
      </c>
      <c r="AB78" s="13">
        <f>IF(AD78=21,J78,0)</f>
        <v>0</v>
      </c>
      <c r="AD78" s="13">
        <v>21</v>
      </c>
      <c r="AE78" s="13">
        <f>G78*0.000220312844238819</f>
        <v>0</v>
      </c>
      <c r="AF78" s="13">
        <f>G78*(1-0.000220312844238819)</f>
        <v>0</v>
      </c>
    </row>
    <row r="79" spans="1:32" ht="12.75">
      <c r="A79" s="5" t="s">
        <v>58</v>
      </c>
      <c r="B79" s="5" t="s">
        <v>156</v>
      </c>
      <c r="C79" s="5" t="s">
        <v>209</v>
      </c>
      <c r="D79" s="5" t="s">
        <v>378</v>
      </c>
      <c r="E79" s="5" t="s">
        <v>490</v>
      </c>
      <c r="F79" s="13">
        <v>850</v>
      </c>
      <c r="H79" s="13">
        <f>ROUND(F79*AE79,2)</f>
        <v>0</v>
      </c>
      <c r="I79" s="13">
        <f>J79-H79</f>
        <v>0</v>
      </c>
      <c r="J79" s="13">
        <f>ROUND(F79*G79,2)</f>
        <v>0</v>
      </c>
      <c r="K79" s="13">
        <v>0</v>
      </c>
      <c r="L79" s="13">
        <f>F79*K79</f>
        <v>0</v>
      </c>
      <c r="N79" s="25" t="s">
        <v>7</v>
      </c>
      <c r="O79" s="13">
        <f>IF(N79="5",I79,0)</f>
        <v>0</v>
      </c>
      <c r="Z79" s="13">
        <f>IF(AD79=0,J79,0)</f>
        <v>0</v>
      </c>
      <c r="AA79" s="13">
        <f>IF(AD79=15,J79,0)</f>
        <v>0</v>
      </c>
      <c r="AB79" s="13">
        <f>IF(AD79=21,J79,0)</f>
        <v>0</v>
      </c>
      <c r="AD79" s="13">
        <v>21</v>
      </c>
      <c r="AE79" s="13">
        <f>G79*0</f>
        <v>0</v>
      </c>
      <c r="AF79" s="13">
        <f>G79*(1-0)</f>
        <v>0</v>
      </c>
    </row>
    <row r="80" spans="1:32" ht="12.75">
      <c r="A80" s="5" t="s">
        <v>59</v>
      </c>
      <c r="B80" s="5" t="s">
        <v>156</v>
      </c>
      <c r="C80" s="5" t="s">
        <v>210</v>
      </c>
      <c r="D80" s="5" t="s">
        <v>379</v>
      </c>
      <c r="E80" s="5" t="s">
        <v>490</v>
      </c>
      <c r="F80" s="13">
        <v>850</v>
      </c>
      <c r="H80" s="13">
        <f>ROUND(F80*AE80,2)</f>
        <v>0</v>
      </c>
      <c r="I80" s="13">
        <f>J80-H80</f>
        <v>0</v>
      </c>
      <c r="J80" s="13">
        <f>ROUND(F80*G80,2)</f>
        <v>0</v>
      </c>
      <c r="K80" s="13">
        <v>0</v>
      </c>
      <c r="L80" s="13">
        <f>F80*K80</f>
        <v>0</v>
      </c>
      <c r="N80" s="25" t="s">
        <v>7</v>
      </c>
      <c r="O80" s="13">
        <f>IF(N80="5",I80,0)</f>
        <v>0</v>
      </c>
      <c r="Z80" s="13">
        <f>IF(AD80=0,J80,0)</f>
        <v>0</v>
      </c>
      <c r="AA80" s="13">
        <f>IF(AD80=15,J80,0)</f>
        <v>0</v>
      </c>
      <c r="AB80" s="13">
        <f>IF(AD80=21,J80,0)</f>
        <v>0</v>
      </c>
      <c r="AD80" s="13">
        <v>21</v>
      </c>
      <c r="AE80" s="13">
        <f>G80*0.944048830111902</f>
        <v>0</v>
      </c>
      <c r="AF80" s="13">
        <f>G80*(1-0.944048830111902)</f>
        <v>0</v>
      </c>
    </row>
    <row r="81" spans="1:37" ht="12.75">
      <c r="A81" s="4"/>
      <c r="B81" s="4"/>
      <c r="C81" s="11" t="s">
        <v>211</v>
      </c>
      <c r="D81" s="44" t="s">
        <v>380</v>
      </c>
      <c r="E81" s="45"/>
      <c r="F81" s="45"/>
      <c r="G81" s="45"/>
      <c r="H81" s="27">
        <f>SUM(H82:H82)</f>
        <v>0</v>
      </c>
      <c r="I81" s="27">
        <f>SUM(I82:I82)</f>
        <v>0</v>
      </c>
      <c r="J81" s="27">
        <f>H81+I81</f>
        <v>0</v>
      </c>
      <c r="K81" s="22"/>
      <c r="L81" s="27">
        <f>SUM(L82:L82)</f>
        <v>0</v>
      </c>
      <c r="P81" s="27">
        <f>IF(Q81="PR",J81,SUM(O82:O82))</f>
        <v>0</v>
      </c>
      <c r="Q81" s="22" t="s">
        <v>527</v>
      </c>
      <c r="R81" s="27">
        <f>IF(Q81="HS",H81,0)</f>
        <v>0</v>
      </c>
      <c r="S81" s="27">
        <f>IF(Q81="HS",I81-P81,0)</f>
        <v>0</v>
      </c>
      <c r="T81" s="27">
        <f>IF(Q81="PS",H81,0)</f>
        <v>0</v>
      </c>
      <c r="U81" s="27">
        <f>IF(Q81="PS",I81-P81,0)</f>
        <v>0</v>
      </c>
      <c r="V81" s="27">
        <f>IF(Q81="MP",H81,0)</f>
        <v>0</v>
      </c>
      <c r="W81" s="27">
        <f>IF(Q81="MP",I81-P81,0)</f>
        <v>0</v>
      </c>
      <c r="X81" s="27">
        <f>IF(Q81="OM",H81,0)</f>
        <v>0</v>
      </c>
      <c r="Y81" s="22" t="s">
        <v>156</v>
      </c>
      <c r="AI81" s="27">
        <f>SUM(Z82:Z82)</f>
        <v>0</v>
      </c>
      <c r="AJ81" s="27">
        <f>SUM(AA82:AA82)</f>
        <v>0</v>
      </c>
      <c r="AK81" s="27">
        <f>SUM(AB82:AB82)</f>
        <v>0</v>
      </c>
    </row>
    <row r="82" spans="1:32" ht="12.75">
      <c r="A82" s="5" t="s">
        <v>60</v>
      </c>
      <c r="B82" s="5" t="s">
        <v>156</v>
      </c>
      <c r="C82" s="104" t="s">
        <v>212</v>
      </c>
      <c r="D82" s="5" t="s">
        <v>381</v>
      </c>
      <c r="E82" s="5" t="s">
        <v>493</v>
      </c>
      <c r="F82" s="13">
        <v>24</v>
      </c>
      <c r="H82" s="13">
        <f>ROUND(F82*AE82,2)</f>
        <v>0</v>
      </c>
      <c r="I82" s="13">
        <f>J82-H82</f>
        <v>0</v>
      </c>
      <c r="J82" s="13">
        <f>ROUND(F82*G82,2)</f>
        <v>0</v>
      </c>
      <c r="K82" s="13">
        <v>0</v>
      </c>
      <c r="L82" s="13">
        <f>F82*K82</f>
        <v>0</v>
      </c>
      <c r="N82" s="25" t="s">
        <v>8</v>
      </c>
      <c r="O82" s="13">
        <f>IF(N82="5",I82,0)</f>
        <v>0</v>
      </c>
      <c r="Z82" s="13">
        <f>IF(AD82=0,J82,0)</f>
        <v>0</v>
      </c>
      <c r="AA82" s="13">
        <f>IF(AD82=15,J82,0)</f>
        <v>0</v>
      </c>
      <c r="AB82" s="13">
        <f>IF(AD82=21,J82,0)</f>
        <v>0</v>
      </c>
      <c r="AD82" s="13">
        <v>21</v>
      </c>
      <c r="AE82" s="13">
        <f>G82*0</f>
        <v>0</v>
      </c>
      <c r="AF82" s="13">
        <f>G82*(1-0)</f>
        <v>0</v>
      </c>
    </row>
    <row r="83" spans="1:37" ht="12.75">
      <c r="A83" s="4"/>
      <c r="B83" s="4"/>
      <c r="C83" s="11" t="s">
        <v>213</v>
      </c>
      <c r="D83" s="44" t="s">
        <v>382</v>
      </c>
      <c r="E83" s="45"/>
      <c r="F83" s="45"/>
      <c r="G83" s="45"/>
      <c r="H83" s="27">
        <f>SUM(H84:H86)</f>
        <v>0</v>
      </c>
      <c r="I83" s="27">
        <f>SUM(I84:I86)</f>
        <v>0</v>
      </c>
      <c r="J83" s="27">
        <f>H83+I83</f>
        <v>0</v>
      </c>
      <c r="K83" s="22"/>
      <c r="L83" s="27">
        <f>SUM(L84:L86)</f>
        <v>0</v>
      </c>
      <c r="P83" s="27">
        <f>IF(Q83="PR",J83,SUM(O84:O86))</f>
        <v>0</v>
      </c>
      <c r="Q83" s="22" t="s">
        <v>528</v>
      </c>
      <c r="R83" s="27">
        <f>IF(Q83="HS",H83,0)</f>
        <v>0</v>
      </c>
      <c r="S83" s="27">
        <f>IF(Q83="HS",I83-P83,0)</f>
        <v>0</v>
      </c>
      <c r="T83" s="27">
        <f>IF(Q83="PS",H83,0)</f>
        <v>0</v>
      </c>
      <c r="U83" s="27">
        <f>IF(Q83="PS",I83-P83,0)</f>
        <v>0</v>
      </c>
      <c r="V83" s="27">
        <f>IF(Q83="MP",H83,0)</f>
        <v>0</v>
      </c>
      <c r="W83" s="27">
        <f>IF(Q83="MP",I83-P83,0)</f>
        <v>0</v>
      </c>
      <c r="X83" s="27">
        <f>IF(Q83="OM",H83,0)</f>
        <v>0</v>
      </c>
      <c r="Y83" s="22" t="s">
        <v>156</v>
      </c>
      <c r="AI83" s="27">
        <f>SUM(Z84:Z86)</f>
        <v>0</v>
      </c>
      <c r="AJ83" s="27">
        <f>SUM(AA84:AA86)</f>
        <v>0</v>
      </c>
      <c r="AK83" s="27">
        <f>SUM(AB84:AB86)</f>
        <v>0</v>
      </c>
    </row>
    <row r="84" spans="1:32" ht="12.75">
      <c r="A84" s="5" t="s">
        <v>61</v>
      </c>
      <c r="B84" s="5" t="s">
        <v>156</v>
      </c>
      <c r="C84" s="104" t="s">
        <v>214</v>
      </c>
      <c r="D84" s="5" t="s">
        <v>383</v>
      </c>
      <c r="E84" s="5" t="s">
        <v>491</v>
      </c>
      <c r="F84" s="13">
        <v>28.4</v>
      </c>
      <c r="H84" s="13">
        <f>ROUND(F84*AE84,2)</f>
        <v>0</v>
      </c>
      <c r="I84" s="13">
        <f>J84-H84</f>
        <v>0</v>
      </c>
      <c r="J84" s="13">
        <f>ROUND(F84*G84,2)</f>
        <v>0</v>
      </c>
      <c r="K84" s="13">
        <v>0</v>
      </c>
      <c r="L84" s="13">
        <f>F84*K84</f>
        <v>0</v>
      </c>
      <c r="N84" s="25" t="s">
        <v>11</v>
      </c>
      <c r="O84" s="13">
        <f>IF(N84="5",I84,0)</f>
        <v>0</v>
      </c>
      <c r="Z84" s="13">
        <f>IF(AD84=0,J84,0)</f>
        <v>0</v>
      </c>
      <c r="AA84" s="13">
        <f>IF(AD84=15,J84,0)</f>
        <v>0</v>
      </c>
      <c r="AB84" s="13">
        <f>IF(AD84=21,J84,0)</f>
        <v>0</v>
      </c>
      <c r="AD84" s="13">
        <v>21</v>
      </c>
      <c r="AE84" s="13">
        <f>G84*0</f>
        <v>0</v>
      </c>
      <c r="AF84" s="13">
        <f>G84*(1-0)</f>
        <v>0</v>
      </c>
    </row>
    <row r="85" spans="1:32" ht="12.75">
      <c r="A85" s="5" t="s">
        <v>62</v>
      </c>
      <c r="B85" s="5" t="s">
        <v>156</v>
      </c>
      <c r="C85" s="104" t="s">
        <v>215</v>
      </c>
      <c r="D85" s="5" t="s">
        <v>384</v>
      </c>
      <c r="E85" s="5" t="s">
        <v>491</v>
      </c>
      <c r="F85" s="13">
        <v>28.4</v>
      </c>
      <c r="H85" s="13">
        <f>ROUND(F85*AE85,2)</f>
        <v>0</v>
      </c>
      <c r="I85" s="13">
        <f>J85-H85</f>
        <v>0</v>
      </c>
      <c r="J85" s="13">
        <f>ROUND(F85*G85,2)</f>
        <v>0</v>
      </c>
      <c r="K85" s="13">
        <v>0</v>
      </c>
      <c r="L85" s="13">
        <f>F85*K85</f>
        <v>0</v>
      </c>
      <c r="N85" s="25" t="s">
        <v>11</v>
      </c>
      <c r="O85" s="13">
        <f>IF(N85="5",I85,0)</f>
        <v>0</v>
      </c>
      <c r="Z85" s="13">
        <f>IF(AD85=0,J85,0)</f>
        <v>0</v>
      </c>
      <c r="AA85" s="13">
        <f>IF(AD85=15,J85,0)</f>
        <v>0</v>
      </c>
      <c r="AB85" s="13">
        <f>IF(AD85=21,J85,0)</f>
        <v>0</v>
      </c>
      <c r="AD85" s="13">
        <v>21</v>
      </c>
      <c r="AE85" s="13">
        <f>G85*0</f>
        <v>0</v>
      </c>
      <c r="AF85" s="13">
        <f>G85*(1-0)</f>
        <v>0</v>
      </c>
    </row>
    <row r="86" spans="1:32" ht="12.75">
      <c r="A86" s="5" t="s">
        <v>63</v>
      </c>
      <c r="B86" s="5" t="s">
        <v>156</v>
      </c>
      <c r="C86" s="104" t="s">
        <v>216</v>
      </c>
      <c r="D86" s="5" t="s">
        <v>385</v>
      </c>
      <c r="E86" s="5" t="s">
        <v>491</v>
      </c>
      <c r="F86" s="13">
        <v>28.4</v>
      </c>
      <c r="H86" s="13">
        <f>ROUND(F86*AE86,2)</f>
        <v>0</v>
      </c>
      <c r="I86" s="13">
        <f>J86-H86</f>
        <v>0</v>
      </c>
      <c r="J86" s="13">
        <f>ROUND(F86*G86,2)</f>
        <v>0</v>
      </c>
      <c r="K86" s="13">
        <v>0</v>
      </c>
      <c r="L86" s="13">
        <f>F86*K86</f>
        <v>0</v>
      </c>
      <c r="N86" s="25" t="s">
        <v>11</v>
      </c>
      <c r="O86" s="13">
        <f>IF(N86="5",I86,0)</f>
        <v>0</v>
      </c>
      <c r="Z86" s="13">
        <f>IF(AD86=0,J86,0)</f>
        <v>0</v>
      </c>
      <c r="AA86" s="13">
        <f>IF(AD86=15,J86,0)</f>
        <v>0</v>
      </c>
      <c r="AB86" s="13">
        <f>IF(AD86=21,J86,0)</f>
        <v>0</v>
      </c>
      <c r="AD86" s="13">
        <v>21</v>
      </c>
      <c r="AE86" s="13">
        <f>G86*0</f>
        <v>0</v>
      </c>
      <c r="AF86" s="13">
        <f>G86*(1-0)</f>
        <v>0</v>
      </c>
    </row>
    <row r="87" spans="1:12" ht="12.75">
      <c r="A87" s="4"/>
      <c r="B87" s="4"/>
      <c r="C87" s="11"/>
      <c r="D87" s="44" t="s">
        <v>386</v>
      </c>
      <c r="E87" s="45"/>
      <c r="F87" s="45"/>
      <c r="G87" s="45"/>
      <c r="H87" s="27">
        <f>H88+H105+H108+H119+H129+H146+H149+H152+H154+H156</f>
        <v>0</v>
      </c>
      <c r="I87" s="27">
        <f>I88+I105+I108+I119+I129+I146+I149+I152+I154+I156</f>
        <v>0</v>
      </c>
      <c r="J87" s="27">
        <f>H87+I87</f>
        <v>0</v>
      </c>
      <c r="K87" s="22"/>
      <c r="L87" s="27">
        <f>L88+L105+L108+L119+L129+L146+L149+L152+L154+L156</f>
        <v>1.45236</v>
      </c>
    </row>
    <row r="88" spans="1:37" ht="12.75">
      <c r="A88" s="4"/>
      <c r="B88" s="4"/>
      <c r="C88" s="11" t="s">
        <v>217</v>
      </c>
      <c r="D88" s="44" t="s">
        <v>387</v>
      </c>
      <c r="E88" s="45"/>
      <c r="F88" s="45"/>
      <c r="G88" s="45"/>
      <c r="H88" s="27">
        <f>SUM(H89:H104)</f>
        <v>0</v>
      </c>
      <c r="I88" s="27">
        <f>SUM(I89:I104)</f>
        <v>0</v>
      </c>
      <c r="J88" s="27">
        <f>H88+I88</f>
        <v>0</v>
      </c>
      <c r="K88" s="22"/>
      <c r="L88" s="27">
        <f>SUM(L89:L104)</f>
        <v>0.020129999999999995</v>
      </c>
      <c r="P88" s="27">
        <f>IF(Q88="PR",J88,SUM(O89:O104))</f>
        <v>0</v>
      </c>
      <c r="Q88" s="22" t="s">
        <v>526</v>
      </c>
      <c r="R88" s="27">
        <f>IF(Q88="HS",H88,0)</f>
        <v>0</v>
      </c>
      <c r="S88" s="27">
        <f>IF(Q88="HS",I88-P88,0)</f>
        <v>0</v>
      </c>
      <c r="T88" s="27">
        <f>IF(Q88="PS",H88,0)</f>
        <v>0</v>
      </c>
      <c r="U88" s="27">
        <f>IF(Q88="PS",I88-P88,0)</f>
        <v>0</v>
      </c>
      <c r="V88" s="27">
        <f>IF(Q88="MP",H88,0)</f>
        <v>0</v>
      </c>
      <c r="W88" s="27">
        <f>IF(Q88="MP",I88-P88,0)</f>
        <v>0</v>
      </c>
      <c r="X88" s="27">
        <f>IF(Q88="OM",H88,0)</f>
        <v>0</v>
      </c>
      <c r="Y88" s="22" t="s">
        <v>157</v>
      </c>
      <c r="AI88" s="27">
        <f>SUM(Z89:Z104)</f>
        <v>0</v>
      </c>
      <c r="AJ88" s="27">
        <f>SUM(AA89:AA104)</f>
        <v>0</v>
      </c>
      <c r="AK88" s="27">
        <f>SUM(AB89:AB104)</f>
        <v>0</v>
      </c>
    </row>
    <row r="89" spans="1:32" ht="12.75">
      <c r="A89" s="5" t="s">
        <v>64</v>
      </c>
      <c r="B89" s="5" t="s">
        <v>157</v>
      </c>
      <c r="C89" s="5" t="s">
        <v>218</v>
      </c>
      <c r="D89" s="5" t="s">
        <v>388</v>
      </c>
      <c r="E89" s="5" t="s">
        <v>493</v>
      </c>
      <c r="F89" s="13">
        <v>20</v>
      </c>
      <c r="H89" s="13">
        <f aca="true" t="shared" si="24" ref="H89:H104">ROUND(F89*AE89,2)</f>
        <v>0</v>
      </c>
      <c r="I89" s="13">
        <f aca="true" t="shared" si="25" ref="I89:I104">J89-H89</f>
        <v>0</v>
      </c>
      <c r="J89" s="13">
        <f aca="true" t="shared" si="26" ref="J89:J104">ROUND(F89*G89,2)</f>
        <v>0</v>
      </c>
      <c r="K89" s="13">
        <v>0.00031</v>
      </c>
      <c r="L89" s="13">
        <f aca="true" t="shared" si="27" ref="L89:L104">F89*K89</f>
        <v>0.0062</v>
      </c>
      <c r="N89" s="25" t="s">
        <v>7</v>
      </c>
      <c r="O89" s="13">
        <f aca="true" t="shared" si="28" ref="O89:O104">IF(N89="5",I89,0)</f>
        <v>0</v>
      </c>
      <c r="Z89" s="13">
        <f aca="true" t="shared" si="29" ref="Z89:Z104">IF(AD89=0,J89,0)</f>
        <v>0</v>
      </c>
      <c r="AA89" s="13">
        <f aca="true" t="shared" si="30" ref="AA89:AA104">IF(AD89=15,J89,0)</f>
        <v>0</v>
      </c>
      <c r="AB89" s="13">
        <f aca="true" t="shared" si="31" ref="AB89:AB104">IF(AD89=21,J89,0)</f>
        <v>0</v>
      </c>
      <c r="AD89" s="13">
        <v>21</v>
      </c>
      <c r="AE89" s="13">
        <f>G89*0.826237683980051</f>
        <v>0</v>
      </c>
      <c r="AF89" s="13">
        <f>G89*(1-0.826237683980051)</f>
        <v>0</v>
      </c>
    </row>
    <row r="90" spans="1:32" ht="12.75">
      <c r="A90" s="5" t="s">
        <v>65</v>
      </c>
      <c r="B90" s="5" t="s">
        <v>157</v>
      </c>
      <c r="C90" s="5" t="s">
        <v>219</v>
      </c>
      <c r="D90" s="5" t="s">
        <v>389</v>
      </c>
      <c r="E90" s="5" t="s">
        <v>493</v>
      </c>
      <c r="F90" s="13">
        <v>20</v>
      </c>
      <c r="H90" s="13">
        <f t="shared" si="24"/>
        <v>0</v>
      </c>
      <c r="I90" s="13">
        <f t="shared" si="25"/>
        <v>0</v>
      </c>
      <c r="J90" s="13">
        <f t="shared" si="26"/>
        <v>0</v>
      </c>
      <c r="K90" s="13">
        <v>0.00028</v>
      </c>
      <c r="L90" s="13">
        <f t="shared" si="27"/>
        <v>0.005599999999999999</v>
      </c>
      <c r="N90" s="25" t="s">
        <v>7</v>
      </c>
      <c r="O90" s="13">
        <f t="shared" si="28"/>
        <v>0</v>
      </c>
      <c r="Z90" s="13">
        <f t="shared" si="29"/>
        <v>0</v>
      </c>
      <c r="AA90" s="13">
        <f t="shared" si="30"/>
        <v>0</v>
      </c>
      <c r="AB90" s="13">
        <f t="shared" si="31"/>
        <v>0</v>
      </c>
      <c r="AD90" s="13">
        <v>21</v>
      </c>
      <c r="AE90" s="13">
        <f>G90*0.107855473665289</f>
        <v>0</v>
      </c>
      <c r="AF90" s="13">
        <f>G90*(1-0.107855473665289)</f>
        <v>0</v>
      </c>
    </row>
    <row r="91" spans="1:32" ht="12.75">
      <c r="A91" s="5" t="s">
        <v>66</v>
      </c>
      <c r="B91" s="5" t="s">
        <v>157</v>
      </c>
      <c r="C91" s="5" t="s">
        <v>220</v>
      </c>
      <c r="D91" s="5" t="s">
        <v>390</v>
      </c>
      <c r="E91" s="5" t="s">
        <v>497</v>
      </c>
      <c r="F91" s="13">
        <v>8</v>
      </c>
      <c r="H91" s="13">
        <f t="shared" si="24"/>
        <v>0</v>
      </c>
      <c r="I91" s="13">
        <f t="shared" si="25"/>
        <v>0</v>
      </c>
      <c r="J91" s="13">
        <f t="shared" si="26"/>
        <v>0</v>
      </c>
      <c r="K91" s="13">
        <v>8E-05</v>
      </c>
      <c r="L91" s="13">
        <f t="shared" si="27"/>
        <v>0.00064</v>
      </c>
      <c r="N91" s="25" t="s">
        <v>7</v>
      </c>
      <c r="O91" s="13">
        <f t="shared" si="28"/>
        <v>0</v>
      </c>
      <c r="Z91" s="13">
        <f t="shared" si="29"/>
        <v>0</v>
      </c>
      <c r="AA91" s="13">
        <f t="shared" si="30"/>
        <v>0</v>
      </c>
      <c r="AB91" s="13">
        <f t="shared" si="31"/>
        <v>0</v>
      </c>
      <c r="AD91" s="13">
        <v>21</v>
      </c>
      <c r="AE91" s="13">
        <f>G91*0.041458184417441</f>
        <v>0</v>
      </c>
      <c r="AF91" s="13">
        <f>G91*(1-0.041458184417441)</f>
        <v>0</v>
      </c>
    </row>
    <row r="92" spans="1:32" ht="12.75">
      <c r="A92" s="5" t="s">
        <v>67</v>
      </c>
      <c r="B92" s="5" t="s">
        <v>157</v>
      </c>
      <c r="C92" s="5" t="s">
        <v>221</v>
      </c>
      <c r="D92" s="5" t="s">
        <v>391</v>
      </c>
      <c r="E92" s="5" t="s">
        <v>499</v>
      </c>
      <c r="F92" s="13">
        <v>1</v>
      </c>
      <c r="H92" s="13">
        <f t="shared" si="24"/>
        <v>0</v>
      </c>
      <c r="I92" s="13">
        <f t="shared" si="25"/>
        <v>0</v>
      </c>
      <c r="J92" s="13">
        <f t="shared" si="26"/>
        <v>0</v>
      </c>
      <c r="K92" s="13">
        <v>0</v>
      </c>
      <c r="L92" s="13">
        <f t="shared" si="27"/>
        <v>0</v>
      </c>
      <c r="N92" s="25" t="s">
        <v>7</v>
      </c>
      <c r="O92" s="13">
        <f t="shared" si="28"/>
        <v>0</v>
      </c>
      <c r="Z92" s="13">
        <f t="shared" si="29"/>
        <v>0</v>
      </c>
      <c r="AA92" s="13">
        <f t="shared" si="30"/>
        <v>0</v>
      </c>
      <c r="AB92" s="13">
        <f t="shared" si="31"/>
        <v>0</v>
      </c>
      <c r="AD92" s="13">
        <v>21</v>
      </c>
      <c r="AE92" s="13">
        <f>G92*0</f>
        <v>0</v>
      </c>
      <c r="AF92" s="13">
        <f>G92*(1-0)</f>
        <v>0</v>
      </c>
    </row>
    <row r="93" spans="1:32" ht="12.75">
      <c r="A93" s="5" t="s">
        <v>68</v>
      </c>
      <c r="B93" s="5" t="s">
        <v>157</v>
      </c>
      <c r="C93" s="5" t="s">
        <v>222</v>
      </c>
      <c r="D93" s="5" t="s">
        <v>392</v>
      </c>
      <c r="E93" s="5" t="s">
        <v>500</v>
      </c>
      <c r="F93" s="13">
        <v>1</v>
      </c>
      <c r="H93" s="13">
        <f t="shared" si="24"/>
        <v>0</v>
      </c>
      <c r="I93" s="13">
        <f t="shared" si="25"/>
        <v>0</v>
      </c>
      <c r="J93" s="13">
        <f t="shared" si="26"/>
        <v>0</v>
      </c>
      <c r="K93" s="13">
        <v>0</v>
      </c>
      <c r="L93" s="13">
        <f t="shared" si="27"/>
        <v>0</v>
      </c>
      <c r="N93" s="25" t="s">
        <v>7</v>
      </c>
      <c r="O93" s="13">
        <f t="shared" si="28"/>
        <v>0</v>
      </c>
      <c r="Z93" s="13">
        <f t="shared" si="29"/>
        <v>0</v>
      </c>
      <c r="AA93" s="13">
        <f t="shared" si="30"/>
        <v>0</v>
      </c>
      <c r="AB93" s="13">
        <f t="shared" si="31"/>
        <v>0</v>
      </c>
      <c r="AD93" s="13">
        <v>21</v>
      </c>
      <c r="AE93" s="13">
        <f>G93*0.555555555555556</f>
        <v>0</v>
      </c>
      <c r="AF93" s="13">
        <f>G93*(1-0.555555555555556)</f>
        <v>0</v>
      </c>
    </row>
    <row r="94" spans="1:32" ht="12.75">
      <c r="A94" s="5" t="s">
        <v>69</v>
      </c>
      <c r="B94" s="5" t="s">
        <v>157</v>
      </c>
      <c r="C94" s="5" t="s">
        <v>223</v>
      </c>
      <c r="D94" s="5" t="s">
        <v>393</v>
      </c>
      <c r="E94" s="5" t="s">
        <v>497</v>
      </c>
      <c r="F94" s="13">
        <v>5</v>
      </c>
      <c r="H94" s="13">
        <f t="shared" si="24"/>
        <v>0</v>
      </c>
      <c r="I94" s="13">
        <f t="shared" si="25"/>
        <v>0</v>
      </c>
      <c r="J94" s="13">
        <f t="shared" si="26"/>
        <v>0</v>
      </c>
      <c r="K94" s="13">
        <v>0.00048</v>
      </c>
      <c r="L94" s="13">
        <f t="shared" si="27"/>
        <v>0.0024000000000000002</v>
      </c>
      <c r="N94" s="25" t="s">
        <v>7</v>
      </c>
      <c r="O94" s="13">
        <f t="shared" si="28"/>
        <v>0</v>
      </c>
      <c r="Z94" s="13">
        <f t="shared" si="29"/>
        <v>0</v>
      </c>
      <c r="AA94" s="13">
        <f t="shared" si="30"/>
        <v>0</v>
      </c>
      <c r="AB94" s="13">
        <f t="shared" si="31"/>
        <v>0</v>
      </c>
      <c r="AD94" s="13">
        <v>21</v>
      </c>
      <c r="AE94" s="13">
        <f>G94*0.801296071283921</f>
        <v>0</v>
      </c>
      <c r="AF94" s="13">
        <f>G94*(1-0.801296071283921)</f>
        <v>0</v>
      </c>
    </row>
    <row r="95" spans="1:32" ht="12.75">
      <c r="A95" s="5" t="s">
        <v>70</v>
      </c>
      <c r="B95" s="5" t="s">
        <v>157</v>
      </c>
      <c r="C95" s="5" t="s">
        <v>224</v>
      </c>
      <c r="D95" s="5" t="s">
        <v>394</v>
      </c>
      <c r="E95" s="5" t="s">
        <v>497</v>
      </c>
      <c r="F95" s="13">
        <v>1</v>
      </c>
      <c r="H95" s="13">
        <f t="shared" si="24"/>
        <v>0</v>
      </c>
      <c r="I95" s="13">
        <f t="shared" si="25"/>
        <v>0</v>
      </c>
      <c r="J95" s="13">
        <f t="shared" si="26"/>
        <v>0</v>
      </c>
      <c r="K95" s="13">
        <v>0.00163</v>
      </c>
      <c r="L95" s="13">
        <f t="shared" si="27"/>
        <v>0.00163</v>
      </c>
      <c r="N95" s="25" t="s">
        <v>7</v>
      </c>
      <c r="O95" s="13">
        <f t="shared" si="28"/>
        <v>0</v>
      </c>
      <c r="Z95" s="13">
        <f t="shared" si="29"/>
        <v>0</v>
      </c>
      <c r="AA95" s="13">
        <f t="shared" si="30"/>
        <v>0</v>
      </c>
      <c r="AB95" s="13">
        <f t="shared" si="31"/>
        <v>0</v>
      </c>
      <c r="AD95" s="13">
        <v>21</v>
      </c>
      <c r="AE95" s="13">
        <f>G95*0.875888285912937</f>
        <v>0</v>
      </c>
      <c r="AF95" s="13">
        <f>G95*(1-0.875888285912937)</f>
        <v>0</v>
      </c>
    </row>
    <row r="96" spans="1:32" ht="12.75">
      <c r="A96" s="5" t="s">
        <v>71</v>
      </c>
      <c r="B96" s="5" t="s">
        <v>157</v>
      </c>
      <c r="C96" s="5" t="s">
        <v>225</v>
      </c>
      <c r="D96" s="5" t="s">
        <v>395</v>
      </c>
      <c r="E96" s="5" t="s">
        <v>497</v>
      </c>
      <c r="F96" s="13">
        <v>1</v>
      </c>
      <c r="H96" s="13">
        <f t="shared" si="24"/>
        <v>0</v>
      </c>
      <c r="I96" s="13">
        <f t="shared" si="25"/>
        <v>0</v>
      </c>
      <c r="J96" s="13">
        <f t="shared" si="26"/>
        <v>0</v>
      </c>
      <c r="K96" s="13">
        <v>0.00037</v>
      </c>
      <c r="L96" s="13">
        <f t="shared" si="27"/>
        <v>0.00037</v>
      </c>
      <c r="N96" s="25" t="s">
        <v>7</v>
      </c>
      <c r="O96" s="13">
        <f t="shared" si="28"/>
        <v>0</v>
      </c>
      <c r="Z96" s="13">
        <f t="shared" si="29"/>
        <v>0</v>
      </c>
      <c r="AA96" s="13">
        <f t="shared" si="30"/>
        <v>0</v>
      </c>
      <c r="AB96" s="13">
        <f t="shared" si="31"/>
        <v>0</v>
      </c>
      <c r="AD96" s="13">
        <v>21</v>
      </c>
      <c r="AE96" s="13">
        <f>G96*0.879457484971089</f>
        <v>0</v>
      </c>
      <c r="AF96" s="13">
        <f>G96*(1-0.879457484971089)</f>
        <v>0</v>
      </c>
    </row>
    <row r="97" spans="1:32" ht="12.75">
      <c r="A97" s="5" t="s">
        <v>72</v>
      </c>
      <c r="B97" s="5" t="s">
        <v>157</v>
      </c>
      <c r="C97" s="5" t="s">
        <v>226</v>
      </c>
      <c r="D97" s="5" t="s">
        <v>396</v>
      </c>
      <c r="E97" s="5" t="s">
        <v>497</v>
      </c>
      <c r="F97" s="13">
        <v>1</v>
      </c>
      <c r="H97" s="13">
        <f t="shared" si="24"/>
        <v>0</v>
      </c>
      <c r="I97" s="13">
        <f t="shared" si="25"/>
        <v>0</v>
      </c>
      <c r="J97" s="13">
        <f t="shared" si="26"/>
        <v>0</v>
      </c>
      <c r="K97" s="13">
        <v>0.00022</v>
      </c>
      <c r="L97" s="13">
        <f t="shared" si="27"/>
        <v>0.00022</v>
      </c>
      <c r="N97" s="25" t="s">
        <v>7</v>
      </c>
      <c r="O97" s="13">
        <f t="shared" si="28"/>
        <v>0</v>
      </c>
      <c r="Z97" s="13">
        <f t="shared" si="29"/>
        <v>0</v>
      </c>
      <c r="AA97" s="13">
        <f t="shared" si="30"/>
        <v>0</v>
      </c>
      <c r="AB97" s="13">
        <f t="shared" si="31"/>
        <v>0</v>
      </c>
      <c r="AD97" s="13">
        <v>21</v>
      </c>
      <c r="AE97" s="13">
        <f>G97*0.844927201294199</f>
        <v>0</v>
      </c>
      <c r="AF97" s="13">
        <f>G97*(1-0.844927201294199)</f>
        <v>0</v>
      </c>
    </row>
    <row r="98" spans="1:32" ht="12.75">
      <c r="A98" s="5" t="s">
        <v>73</v>
      </c>
      <c r="B98" s="5" t="s">
        <v>157</v>
      </c>
      <c r="C98" s="5" t="s">
        <v>227</v>
      </c>
      <c r="D98" s="5" t="s">
        <v>397</v>
      </c>
      <c r="E98" s="5" t="s">
        <v>497</v>
      </c>
      <c r="F98" s="13">
        <v>2</v>
      </c>
      <c r="H98" s="13">
        <f t="shared" si="24"/>
        <v>0</v>
      </c>
      <c r="I98" s="13">
        <f t="shared" si="25"/>
        <v>0</v>
      </c>
      <c r="J98" s="13">
        <f t="shared" si="26"/>
        <v>0</v>
      </c>
      <c r="K98" s="13">
        <v>0</v>
      </c>
      <c r="L98" s="13">
        <f t="shared" si="27"/>
        <v>0</v>
      </c>
      <c r="N98" s="25" t="s">
        <v>7</v>
      </c>
      <c r="O98" s="13">
        <f t="shared" si="28"/>
        <v>0</v>
      </c>
      <c r="Z98" s="13">
        <f t="shared" si="29"/>
        <v>0</v>
      </c>
      <c r="AA98" s="13">
        <f t="shared" si="30"/>
        <v>0</v>
      </c>
      <c r="AB98" s="13">
        <f t="shared" si="31"/>
        <v>0</v>
      </c>
      <c r="AD98" s="13">
        <v>21</v>
      </c>
      <c r="AE98" s="13">
        <f>G98*0.750271480928465</f>
        <v>0</v>
      </c>
      <c r="AF98" s="13">
        <f>G98*(1-0.750271480928465)</f>
        <v>0</v>
      </c>
    </row>
    <row r="99" spans="1:32" ht="12.75">
      <c r="A99" s="5" t="s">
        <v>74</v>
      </c>
      <c r="B99" s="5" t="s">
        <v>157</v>
      </c>
      <c r="C99" s="5" t="s">
        <v>226</v>
      </c>
      <c r="D99" s="5" t="s">
        <v>396</v>
      </c>
      <c r="E99" s="5" t="s">
        <v>497</v>
      </c>
      <c r="F99" s="13">
        <v>4</v>
      </c>
      <c r="H99" s="13">
        <f t="shared" si="24"/>
        <v>0</v>
      </c>
      <c r="I99" s="13">
        <f t="shared" si="25"/>
        <v>0</v>
      </c>
      <c r="J99" s="13">
        <f t="shared" si="26"/>
        <v>0</v>
      </c>
      <c r="K99" s="13">
        <v>0.00022</v>
      </c>
      <c r="L99" s="13">
        <f t="shared" si="27"/>
        <v>0.00088</v>
      </c>
      <c r="N99" s="25" t="s">
        <v>7</v>
      </c>
      <c r="O99" s="13">
        <f t="shared" si="28"/>
        <v>0</v>
      </c>
      <c r="Z99" s="13">
        <f t="shared" si="29"/>
        <v>0</v>
      </c>
      <c r="AA99" s="13">
        <f t="shared" si="30"/>
        <v>0</v>
      </c>
      <c r="AB99" s="13">
        <f t="shared" si="31"/>
        <v>0</v>
      </c>
      <c r="AD99" s="13">
        <v>21</v>
      </c>
      <c r="AE99" s="13">
        <f>G99*0.844927201294199</f>
        <v>0</v>
      </c>
      <c r="AF99" s="13">
        <f>G99*(1-0.844927201294199)</f>
        <v>0</v>
      </c>
    </row>
    <row r="100" spans="1:32" ht="12.75">
      <c r="A100" s="5" t="s">
        <v>75</v>
      </c>
      <c r="B100" s="5" t="s">
        <v>157</v>
      </c>
      <c r="C100" s="5" t="s">
        <v>228</v>
      </c>
      <c r="D100" s="5" t="s">
        <v>398</v>
      </c>
      <c r="E100" s="5" t="s">
        <v>497</v>
      </c>
      <c r="F100" s="13">
        <v>2</v>
      </c>
      <c r="H100" s="13">
        <f t="shared" si="24"/>
        <v>0</v>
      </c>
      <c r="I100" s="13">
        <f t="shared" si="25"/>
        <v>0</v>
      </c>
      <c r="J100" s="13">
        <f t="shared" si="26"/>
        <v>0</v>
      </c>
      <c r="K100" s="13">
        <v>0.00065</v>
      </c>
      <c r="L100" s="13">
        <f t="shared" si="27"/>
        <v>0.0013</v>
      </c>
      <c r="N100" s="25" t="s">
        <v>7</v>
      </c>
      <c r="O100" s="13">
        <f t="shared" si="28"/>
        <v>0</v>
      </c>
      <c r="Z100" s="13">
        <f t="shared" si="29"/>
        <v>0</v>
      </c>
      <c r="AA100" s="13">
        <f t="shared" si="30"/>
        <v>0</v>
      </c>
      <c r="AB100" s="13">
        <f t="shared" si="31"/>
        <v>0</v>
      </c>
      <c r="AD100" s="13">
        <v>21</v>
      </c>
      <c r="AE100" s="13">
        <f>G100*0.86858747277546</f>
        <v>0</v>
      </c>
      <c r="AF100" s="13">
        <f>G100*(1-0.86858747277546)</f>
        <v>0</v>
      </c>
    </row>
    <row r="101" spans="1:32" ht="12.75">
      <c r="A101" s="5" t="s">
        <v>76</v>
      </c>
      <c r="B101" s="5" t="s">
        <v>157</v>
      </c>
      <c r="C101" s="5" t="s">
        <v>229</v>
      </c>
      <c r="D101" s="5" t="s">
        <v>399</v>
      </c>
      <c r="E101" s="5" t="s">
        <v>497</v>
      </c>
      <c r="F101" s="13">
        <v>1</v>
      </c>
      <c r="H101" s="13">
        <f t="shared" si="24"/>
        <v>0</v>
      </c>
      <c r="I101" s="13">
        <f t="shared" si="25"/>
        <v>0</v>
      </c>
      <c r="J101" s="13">
        <f t="shared" si="26"/>
        <v>0</v>
      </c>
      <c r="K101" s="13">
        <v>0.00023</v>
      </c>
      <c r="L101" s="13">
        <f t="shared" si="27"/>
        <v>0.00023</v>
      </c>
      <c r="N101" s="25" t="s">
        <v>7</v>
      </c>
      <c r="O101" s="13">
        <f t="shared" si="28"/>
        <v>0</v>
      </c>
      <c r="Z101" s="13">
        <f t="shared" si="29"/>
        <v>0</v>
      </c>
      <c r="AA101" s="13">
        <f t="shared" si="30"/>
        <v>0</v>
      </c>
      <c r="AB101" s="13">
        <f t="shared" si="31"/>
        <v>0</v>
      </c>
      <c r="AD101" s="13">
        <v>21</v>
      </c>
      <c r="AE101" s="13">
        <f>G101*0.74175203846958</f>
        <v>0</v>
      </c>
      <c r="AF101" s="13">
        <f>G101*(1-0.74175203846958)</f>
        <v>0</v>
      </c>
    </row>
    <row r="102" spans="1:32" ht="12.75">
      <c r="A102" s="5" t="s">
        <v>77</v>
      </c>
      <c r="B102" s="5" t="s">
        <v>157</v>
      </c>
      <c r="C102" s="5" t="s">
        <v>229</v>
      </c>
      <c r="D102" s="5" t="s">
        <v>399</v>
      </c>
      <c r="E102" s="5" t="s">
        <v>497</v>
      </c>
      <c r="F102" s="13">
        <v>2</v>
      </c>
      <c r="H102" s="13">
        <f t="shared" si="24"/>
        <v>0</v>
      </c>
      <c r="I102" s="13">
        <f t="shared" si="25"/>
        <v>0</v>
      </c>
      <c r="J102" s="13">
        <f t="shared" si="26"/>
        <v>0</v>
      </c>
      <c r="K102" s="13">
        <v>0.00023</v>
      </c>
      <c r="L102" s="13">
        <f t="shared" si="27"/>
        <v>0.00046</v>
      </c>
      <c r="N102" s="25" t="s">
        <v>7</v>
      </c>
      <c r="O102" s="13">
        <f t="shared" si="28"/>
        <v>0</v>
      </c>
      <c r="Z102" s="13">
        <f t="shared" si="29"/>
        <v>0</v>
      </c>
      <c r="AA102" s="13">
        <f t="shared" si="30"/>
        <v>0</v>
      </c>
      <c r="AB102" s="13">
        <f t="shared" si="31"/>
        <v>0</v>
      </c>
      <c r="AD102" s="13">
        <v>21</v>
      </c>
      <c r="AE102" s="13">
        <f>G102*0.74175203846958</f>
        <v>0</v>
      </c>
      <c r="AF102" s="13">
        <f>G102*(1-0.74175203846958)</f>
        <v>0</v>
      </c>
    </row>
    <row r="103" spans="1:32" ht="12.75">
      <c r="A103" s="5" t="s">
        <v>78</v>
      </c>
      <c r="B103" s="5" t="s">
        <v>157</v>
      </c>
      <c r="C103" s="5" t="s">
        <v>230</v>
      </c>
      <c r="D103" s="5" t="s">
        <v>400</v>
      </c>
      <c r="E103" s="5" t="s">
        <v>493</v>
      </c>
      <c r="F103" s="13">
        <v>20</v>
      </c>
      <c r="H103" s="13">
        <f t="shared" si="24"/>
        <v>0</v>
      </c>
      <c r="I103" s="13">
        <f t="shared" si="25"/>
        <v>0</v>
      </c>
      <c r="J103" s="13">
        <f t="shared" si="26"/>
        <v>0</v>
      </c>
      <c r="K103" s="13">
        <v>1E-05</v>
      </c>
      <c r="L103" s="13">
        <f t="shared" si="27"/>
        <v>0.0002</v>
      </c>
      <c r="N103" s="25" t="s">
        <v>7</v>
      </c>
      <c r="O103" s="13">
        <f t="shared" si="28"/>
        <v>0</v>
      </c>
      <c r="Z103" s="13">
        <f t="shared" si="29"/>
        <v>0</v>
      </c>
      <c r="AA103" s="13">
        <f t="shared" si="30"/>
        <v>0</v>
      </c>
      <c r="AB103" s="13">
        <f t="shared" si="31"/>
        <v>0</v>
      </c>
      <c r="AD103" s="13">
        <v>21</v>
      </c>
      <c r="AE103" s="13">
        <f>G103*0.0598690364826941</f>
        <v>0</v>
      </c>
      <c r="AF103" s="13">
        <f>G103*(1-0.0598690364826941)</f>
        <v>0</v>
      </c>
    </row>
    <row r="104" spans="1:32" ht="12.75">
      <c r="A104" s="5" t="s">
        <v>79</v>
      </c>
      <c r="B104" s="5" t="s">
        <v>157</v>
      </c>
      <c r="C104" s="5" t="s">
        <v>231</v>
      </c>
      <c r="D104" s="5" t="s">
        <v>401</v>
      </c>
      <c r="E104" s="5" t="s">
        <v>491</v>
      </c>
      <c r="F104" s="13">
        <v>0.0695</v>
      </c>
      <c r="H104" s="13">
        <f t="shared" si="24"/>
        <v>0</v>
      </c>
      <c r="I104" s="13">
        <f t="shared" si="25"/>
        <v>0</v>
      </c>
      <c r="J104" s="13">
        <f t="shared" si="26"/>
        <v>0</v>
      </c>
      <c r="K104" s="13">
        <v>0</v>
      </c>
      <c r="L104" s="13">
        <f t="shared" si="27"/>
        <v>0</v>
      </c>
      <c r="N104" s="25" t="s">
        <v>11</v>
      </c>
      <c r="O104" s="13">
        <f t="shared" si="28"/>
        <v>0</v>
      </c>
      <c r="Z104" s="13">
        <f t="shared" si="29"/>
        <v>0</v>
      </c>
      <c r="AA104" s="13">
        <f t="shared" si="30"/>
        <v>0</v>
      </c>
      <c r="AB104" s="13">
        <f t="shared" si="31"/>
        <v>0</v>
      </c>
      <c r="AD104" s="13">
        <v>21</v>
      </c>
      <c r="AE104" s="13">
        <f>G104*0</f>
        <v>0</v>
      </c>
      <c r="AF104" s="13">
        <f>G104*(1-0)</f>
        <v>0</v>
      </c>
    </row>
    <row r="105" spans="1:37" ht="12.75">
      <c r="A105" s="4"/>
      <c r="B105" s="4"/>
      <c r="C105" s="11" t="s">
        <v>232</v>
      </c>
      <c r="D105" s="44" t="s">
        <v>402</v>
      </c>
      <c r="E105" s="45"/>
      <c r="F105" s="45"/>
      <c r="G105" s="45"/>
      <c r="H105" s="27">
        <f>SUM(H106:H107)</f>
        <v>0</v>
      </c>
      <c r="I105" s="27">
        <f>SUM(I106:I107)</f>
        <v>0</v>
      </c>
      <c r="J105" s="27">
        <f>H105+I105</f>
        <v>0</v>
      </c>
      <c r="K105" s="22"/>
      <c r="L105" s="27">
        <f>SUM(L106:L107)</f>
        <v>0</v>
      </c>
      <c r="P105" s="27">
        <f>IF(Q105="PR",J105,SUM(O106:O107))</f>
        <v>0</v>
      </c>
      <c r="Q105" s="22" t="s">
        <v>526</v>
      </c>
      <c r="R105" s="27">
        <f>IF(Q105="HS",H105,0)</f>
        <v>0</v>
      </c>
      <c r="S105" s="27">
        <f>IF(Q105="HS",I105-P105,0)</f>
        <v>0</v>
      </c>
      <c r="T105" s="27">
        <f>IF(Q105="PS",H105,0)</f>
        <v>0</v>
      </c>
      <c r="U105" s="27">
        <f>IF(Q105="PS",I105-P105,0)</f>
        <v>0</v>
      </c>
      <c r="V105" s="27">
        <f>IF(Q105="MP",H105,0)</f>
        <v>0</v>
      </c>
      <c r="W105" s="27">
        <f>IF(Q105="MP",I105-P105,0)</f>
        <v>0</v>
      </c>
      <c r="X105" s="27">
        <f>IF(Q105="OM",H105,0)</f>
        <v>0</v>
      </c>
      <c r="Y105" s="22" t="s">
        <v>157</v>
      </c>
      <c r="AI105" s="27">
        <f>SUM(Z106:Z107)</f>
        <v>0</v>
      </c>
      <c r="AJ105" s="27">
        <f>SUM(AA106:AA107)</f>
        <v>0</v>
      </c>
      <c r="AK105" s="27">
        <f>SUM(AB106:AB107)</f>
        <v>0</v>
      </c>
    </row>
    <row r="106" spans="1:32" ht="12.75">
      <c r="A106" s="5" t="s">
        <v>80</v>
      </c>
      <c r="B106" s="5" t="s">
        <v>157</v>
      </c>
      <c r="C106" s="5" t="s">
        <v>233</v>
      </c>
      <c r="D106" s="5" t="s">
        <v>403</v>
      </c>
      <c r="E106" s="5" t="s">
        <v>501</v>
      </c>
      <c r="F106" s="13">
        <v>1</v>
      </c>
      <c r="H106" s="13">
        <f>ROUND(F106*AE106,2)</f>
        <v>0</v>
      </c>
      <c r="I106" s="13">
        <f>J106-H106</f>
        <v>0</v>
      </c>
      <c r="J106" s="13">
        <f>ROUND(F106*G106,2)</f>
        <v>0</v>
      </c>
      <c r="K106" s="13">
        <v>0</v>
      </c>
      <c r="L106" s="13">
        <f>F106*K106</f>
        <v>0</v>
      </c>
      <c r="N106" s="25" t="s">
        <v>7</v>
      </c>
      <c r="O106" s="13">
        <f>IF(N106="5",I106,0)</f>
        <v>0</v>
      </c>
      <c r="Z106" s="13">
        <f>IF(AD106=0,J106,0)</f>
        <v>0</v>
      </c>
      <c r="AA106" s="13">
        <f>IF(AD106=15,J106,0)</f>
        <v>0</v>
      </c>
      <c r="AB106" s="13">
        <f>IF(AD106=21,J106,0)</f>
        <v>0</v>
      </c>
      <c r="AD106" s="13">
        <v>21</v>
      </c>
      <c r="AE106" s="13">
        <f>G106*0.888888888888889</f>
        <v>0</v>
      </c>
      <c r="AF106" s="13">
        <f>G106*(1-0.888888888888889)</f>
        <v>0</v>
      </c>
    </row>
    <row r="107" spans="1:32" ht="12.75">
      <c r="A107" s="5" t="s">
        <v>81</v>
      </c>
      <c r="B107" s="5" t="s">
        <v>157</v>
      </c>
      <c r="C107" s="5" t="s">
        <v>234</v>
      </c>
      <c r="D107" s="5" t="s">
        <v>404</v>
      </c>
      <c r="E107" s="5" t="s">
        <v>501</v>
      </c>
      <c r="F107" s="13">
        <v>1</v>
      </c>
      <c r="H107" s="13">
        <f>ROUND(F107*AE107,2)</f>
        <v>0</v>
      </c>
      <c r="I107" s="13">
        <f>J107-H107</f>
        <v>0</v>
      </c>
      <c r="J107" s="13">
        <f>ROUND(F107*G107,2)</f>
        <v>0</v>
      </c>
      <c r="K107" s="13">
        <v>0</v>
      </c>
      <c r="L107" s="13">
        <f>F107*K107</f>
        <v>0</v>
      </c>
      <c r="N107" s="25" t="s">
        <v>7</v>
      </c>
      <c r="O107" s="13">
        <f>IF(N107="5",I107,0)</f>
        <v>0</v>
      </c>
      <c r="Z107" s="13">
        <f>IF(AD107=0,J107,0)</f>
        <v>0</v>
      </c>
      <c r="AA107" s="13">
        <f>IF(AD107=15,J107,0)</f>
        <v>0</v>
      </c>
      <c r="AB107" s="13">
        <f>IF(AD107=21,J107,0)</f>
        <v>0</v>
      </c>
      <c r="AD107" s="13">
        <v>21</v>
      </c>
      <c r="AE107" s="13">
        <f>G107*0.918367346938776</f>
        <v>0</v>
      </c>
      <c r="AF107" s="13">
        <f>G107*(1-0.918367346938776)</f>
        <v>0</v>
      </c>
    </row>
    <row r="108" spans="1:37" ht="12.75">
      <c r="A108" s="4"/>
      <c r="B108" s="4"/>
      <c r="C108" s="11" t="s">
        <v>235</v>
      </c>
      <c r="D108" s="44" t="s">
        <v>405</v>
      </c>
      <c r="E108" s="45"/>
      <c r="F108" s="45"/>
      <c r="G108" s="45"/>
      <c r="H108" s="27">
        <f>SUM(H109:H118)</f>
        <v>0</v>
      </c>
      <c r="I108" s="27">
        <f>SUM(I109:I118)</f>
        <v>0</v>
      </c>
      <c r="J108" s="27">
        <f>H108+I108</f>
        <v>0</v>
      </c>
      <c r="K108" s="22"/>
      <c r="L108" s="27">
        <f>SUM(L109:L118)</f>
        <v>0.62951</v>
      </c>
      <c r="P108" s="27">
        <f>IF(Q108="PR",J108,SUM(O109:O118))</f>
        <v>0</v>
      </c>
      <c r="Q108" s="22" t="s">
        <v>526</v>
      </c>
      <c r="R108" s="27">
        <f>IF(Q108="HS",H108,0)</f>
        <v>0</v>
      </c>
      <c r="S108" s="27">
        <f>IF(Q108="HS",I108-P108,0)</f>
        <v>0</v>
      </c>
      <c r="T108" s="27">
        <f>IF(Q108="PS",H108,0)</f>
        <v>0</v>
      </c>
      <c r="U108" s="27">
        <f>IF(Q108="PS",I108-P108,0)</f>
        <v>0</v>
      </c>
      <c r="V108" s="27">
        <f>IF(Q108="MP",H108,0)</f>
        <v>0</v>
      </c>
      <c r="W108" s="27">
        <f>IF(Q108="MP",I108-P108,0)</f>
        <v>0</v>
      </c>
      <c r="X108" s="27">
        <f>IF(Q108="OM",H108,0)</f>
        <v>0</v>
      </c>
      <c r="Y108" s="22" t="s">
        <v>157</v>
      </c>
      <c r="AI108" s="27">
        <f>SUM(Z109:Z118)</f>
        <v>0</v>
      </c>
      <c r="AJ108" s="27">
        <f>SUM(AA109:AA118)</f>
        <v>0</v>
      </c>
      <c r="AK108" s="27">
        <f>SUM(AB109:AB118)</f>
        <v>0</v>
      </c>
    </row>
    <row r="109" spans="1:32" ht="12.75">
      <c r="A109" s="5" t="s">
        <v>82</v>
      </c>
      <c r="B109" s="5" t="s">
        <v>157</v>
      </c>
      <c r="C109" s="5" t="s">
        <v>236</v>
      </c>
      <c r="D109" s="5" t="s">
        <v>406</v>
      </c>
      <c r="E109" s="5" t="s">
        <v>497</v>
      </c>
      <c r="F109" s="13">
        <v>1</v>
      </c>
      <c r="H109" s="13">
        <f aca="true" t="shared" si="32" ref="H109:H118">ROUND(F109*AE109,2)</f>
        <v>0</v>
      </c>
      <c r="I109" s="13">
        <f aca="true" t="shared" si="33" ref="I109:I118">J109-H109</f>
        <v>0</v>
      </c>
      <c r="J109" s="13">
        <f aca="true" t="shared" si="34" ref="J109:J118">ROUND(F109*G109,2)</f>
        <v>0</v>
      </c>
      <c r="K109" s="13">
        <v>0.159</v>
      </c>
      <c r="L109" s="13">
        <f aca="true" t="shared" si="35" ref="L109:L118">F109*K109</f>
        <v>0.159</v>
      </c>
      <c r="N109" s="25" t="s">
        <v>7</v>
      </c>
      <c r="O109" s="13">
        <f aca="true" t="shared" si="36" ref="O109:O118">IF(N109="5",I109,0)</f>
        <v>0</v>
      </c>
      <c r="Z109" s="13">
        <f aca="true" t="shared" si="37" ref="Z109:Z118">IF(AD109=0,J109,0)</f>
        <v>0</v>
      </c>
      <c r="AA109" s="13">
        <f aca="true" t="shared" si="38" ref="AA109:AA118">IF(AD109=15,J109,0)</f>
        <v>0</v>
      </c>
      <c r="AB109" s="13">
        <f aca="true" t="shared" si="39" ref="AB109:AB118">IF(AD109=21,J109,0)</f>
        <v>0</v>
      </c>
      <c r="AD109" s="13">
        <v>21</v>
      </c>
      <c r="AE109" s="13">
        <f>G109*0</f>
        <v>0</v>
      </c>
      <c r="AF109" s="13">
        <f>G109*(1-0)</f>
        <v>0</v>
      </c>
    </row>
    <row r="110" spans="1:32" ht="12.75">
      <c r="A110" s="5" t="s">
        <v>83</v>
      </c>
      <c r="B110" s="5" t="s">
        <v>157</v>
      </c>
      <c r="C110" s="5" t="s">
        <v>237</v>
      </c>
      <c r="D110" s="5" t="s">
        <v>407</v>
      </c>
      <c r="E110" s="5" t="s">
        <v>493</v>
      </c>
      <c r="F110" s="13">
        <v>2</v>
      </c>
      <c r="H110" s="13">
        <f t="shared" si="32"/>
        <v>0</v>
      </c>
      <c r="I110" s="13">
        <f t="shared" si="33"/>
        <v>0</v>
      </c>
      <c r="J110" s="13">
        <f t="shared" si="34"/>
        <v>0</v>
      </c>
      <c r="K110" s="13">
        <v>0.09358</v>
      </c>
      <c r="L110" s="13">
        <f t="shared" si="35"/>
        <v>0.18716</v>
      </c>
      <c r="N110" s="25" t="s">
        <v>7</v>
      </c>
      <c r="O110" s="13">
        <f t="shared" si="36"/>
        <v>0</v>
      </c>
      <c r="Z110" s="13">
        <f t="shared" si="37"/>
        <v>0</v>
      </c>
      <c r="AA110" s="13">
        <f t="shared" si="38"/>
        <v>0</v>
      </c>
      <c r="AB110" s="13">
        <f t="shared" si="39"/>
        <v>0</v>
      </c>
      <c r="AD110" s="13">
        <v>21</v>
      </c>
      <c r="AE110" s="13">
        <f>G110*0</f>
        <v>0</v>
      </c>
      <c r="AF110" s="13">
        <f>G110*(1-0)</f>
        <v>0</v>
      </c>
    </row>
    <row r="111" spans="1:32" ht="12.75">
      <c r="A111" s="5" t="s">
        <v>84</v>
      </c>
      <c r="B111" s="5" t="s">
        <v>157</v>
      </c>
      <c r="C111" s="5" t="s">
        <v>238</v>
      </c>
      <c r="D111" s="5" t="s">
        <v>408</v>
      </c>
      <c r="E111" s="5" t="s">
        <v>497</v>
      </c>
      <c r="F111" s="13">
        <v>2</v>
      </c>
      <c r="H111" s="13">
        <f t="shared" si="32"/>
        <v>0</v>
      </c>
      <c r="I111" s="13">
        <f t="shared" si="33"/>
        <v>0</v>
      </c>
      <c r="J111" s="13">
        <f t="shared" si="34"/>
        <v>0</v>
      </c>
      <c r="K111" s="13">
        <v>0</v>
      </c>
      <c r="L111" s="13">
        <f t="shared" si="35"/>
        <v>0</v>
      </c>
      <c r="N111" s="25" t="s">
        <v>7</v>
      </c>
      <c r="O111" s="13">
        <f t="shared" si="36"/>
        <v>0</v>
      </c>
      <c r="Z111" s="13">
        <f t="shared" si="37"/>
        <v>0</v>
      </c>
      <c r="AA111" s="13">
        <f t="shared" si="38"/>
        <v>0</v>
      </c>
      <c r="AB111" s="13">
        <f t="shared" si="39"/>
        <v>0</v>
      </c>
      <c r="AD111" s="13">
        <v>21</v>
      </c>
      <c r="AE111" s="13">
        <f>G111*0</f>
        <v>0</v>
      </c>
      <c r="AF111" s="13">
        <f>G111*(1-0)</f>
        <v>0</v>
      </c>
    </row>
    <row r="112" spans="1:32" ht="12.75">
      <c r="A112" s="5" t="s">
        <v>85</v>
      </c>
      <c r="B112" s="5" t="s">
        <v>157</v>
      </c>
      <c r="C112" s="5" t="s">
        <v>239</v>
      </c>
      <c r="D112" s="5" t="s">
        <v>409</v>
      </c>
      <c r="E112" s="5" t="s">
        <v>497</v>
      </c>
      <c r="F112" s="13">
        <v>2</v>
      </c>
      <c r="H112" s="13">
        <f t="shared" si="32"/>
        <v>0</v>
      </c>
      <c r="I112" s="13">
        <f t="shared" si="33"/>
        <v>0</v>
      </c>
      <c r="J112" s="13">
        <f t="shared" si="34"/>
        <v>0</v>
      </c>
      <c r="K112" s="13">
        <v>0.028</v>
      </c>
      <c r="L112" s="13">
        <f t="shared" si="35"/>
        <v>0.056</v>
      </c>
      <c r="N112" s="25" t="s">
        <v>7</v>
      </c>
      <c r="O112" s="13">
        <f t="shared" si="36"/>
        <v>0</v>
      </c>
      <c r="Z112" s="13">
        <f t="shared" si="37"/>
        <v>0</v>
      </c>
      <c r="AA112" s="13">
        <f t="shared" si="38"/>
        <v>0</v>
      </c>
      <c r="AB112" s="13">
        <f t="shared" si="39"/>
        <v>0</v>
      </c>
      <c r="AD112" s="13">
        <v>21</v>
      </c>
      <c r="AE112" s="13">
        <f>G112*0.00982538580658942</f>
        <v>0</v>
      </c>
      <c r="AF112" s="13">
        <f>G112*(1-0.00982538580658942)</f>
        <v>0</v>
      </c>
    </row>
    <row r="113" spans="1:32" ht="12.75">
      <c r="A113" s="5" t="s">
        <v>86</v>
      </c>
      <c r="B113" s="5" t="s">
        <v>157</v>
      </c>
      <c r="C113" s="5" t="s">
        <v>240</v>
      </c>
      <c r="D113" s="5" t="s">
        <v>410</v>
      </c>
      <c r="E113" s="5" t="s">
        <v>497</v>
      </c>
      <c r="F113" s="13">
        <v>2</v>
      </c>
      <c r="H113" s="13">
        <f t="shared" si="32"/>
        <v>0</v>
      </c>
      <c r="I113" s="13">
        <f t="shared" si="33"/>
        <v>0</v>
      </c>
      <c r="J113" s="13">
        <f t="shared" si="34"/>
        <v>0</v>
      </c>
      <c r="K113" s="13">
        <v>0.07697</v>
      </c>
      <c r="L113" s="13">
        <f t="shared" si="35"/>
        <v>0.15394</v>
      </c>
      <c r="N113" s="25" t="s">
        <v>7</v>
      </c>
      <c r="O113" s="13">
        <f t="shared" si="36"/>
        <v>0</v>
      </c>
      <c r="Z113" s="13">
        <f t="shared" si="37"/>
        <v>0</v>
      </c>
      <c r="AA113" s="13">
        <f t="shared" si="38"/>
        <v>0</v>
      </c>
      <c r="AB113" s="13">
        <f t="shared" si="39"/>
        <v>0</v>
      </c>
      <c r="AD113" s="13">
        <v>21</v>
      </c>
      <c r="AE113" s="13">
        <f>G113*0.483623514765383</f>
        <v>0</v>
      </c>
      <c r="AF113" s="13">
        <f>G113*(1-0.483623514765383)</f>
        <v>0</v>
      </c>
    </row>
    <row r="114" spans="1:32" ht="12.75">
      <c r="A114" s="5" t="s">
        <v>87</v>
      </c>
      <c r="B114" s="5" t="s">
        <v>157</v>
      </c>
      <c r="C114" s="5" t="s">
        <v>241</v>
      </c>
      <c r="D114" s="5" t="s">
        <v>411</v>
      </c>
      <c r="E114" s="5" t="s">
        <v>499</v>
      </c>
      <c r="F114" s="13">
        <v>1</v>
      </c>
      <c r="H114" s="13">
        <f t="shared" si="32"/>
        <v>0</v>
      </c>
      <c r="I114" s="13">
        <f t="shared" si="33"/>
        <v>0</v>
      </c>
      <c r="J114" s="13">
        <f t="shared" si="34"/>
        <v>0</v>
      </c>
      <c r="K114" s="13">
        <v>0.0354</v>
      </c>
      <c r="L114" s="13">
        <f t="shared" si="35"/>
        <v>0.0354</v>
      </c>
      <c r="N114" s="25" t="s">
        <v>7</v>
      </c>
      <c r="O114" s="13">
        <f t="shared" si="36"/>
        <v>0</v>
      </c>
      <c r="Z114" s="13">
        <f t="shared" si="37"/>
        <v>0</v>
      </c>
      <c r="AA114" s="13">
        <f t="shared" si="38"/>
        <v>0</v>
      </c>
      <c r="AB114" s="13">
        <f t="shared" si="39"/>
        <v>0</v>
      </c>
      <c r="AD114" s="13">
        <v>21</v>
      </c>
      <c r="AE114" s="13">
        <f>G114*0.930850915964751</f>
        <v>0</v>
      </c>
      <c r="AF114" s="13">
        <f>G114*(1-0.930850915964751)</f>
        <v>0</v>
      </c>
    </row>
    <row r="115" spans="1:32" ht="12.75">
      <c r="A115" s="5" t="s">
        <v>88</v>
      </c>
      <c r="B115" s="5" t="s">
        <v>157</v>
      </c>
      <c r="C115" s="5" t="s">
        <v>242</v>
      </c>
      <c r="D115" s="5" t="s">
        <v>412</v>
      </c>
      <c r="E115" s="5" t="s">
        <v>499</v>
      </c>
      <c r="F115" s="13">
        <v>1</v>
      </c>
      <c r="H115" s="13">
        <f t="shared" si="32"/>
        <v>0</v>
      </c>
      <c r="I115" s="13">
        <f t="shared" si="33"/>
        <v>0</v>
      </c>
      <c r="J115" s="13">
        <f t="shared" si="34"/>
        <v>0</v>
      </c>
      <c r="K115" s="13">
        <v>0.02559</v>
      </c>
      <c r="L115" s="13">
        <f t="shared" si="35"/>
        <v>0.02559</v>
      </c>
      <c r="N115" s="25" t="s">
        <v>7</v>
      </c>
      <c r="O115" s="13">
        <f t="shared" si="36"/>
        <v>0</v>
      </c>
      <c r="Z115" s="13">
        <f t="shared" si="37"/>
        <v>0</v>
      </c>
      <c r="AA115" s="13">
        <f t="shared" si="38"/>
        <v>0</v>
      </c>
      <c r="AB115" s="13">
        <f t="shared" si="39"/>
        <v>0</v>
      </c>
      <c r="AD115" s="13">
        <v>21</v>
      </c>
      <c r="AE115" s="13">
        <f>G115*0.982838170095224</f>
        <v>0</v>
      </c>
      <c r="AF115" s="13">
        <f>G115*(1-0.982838170095224)</f>
        <v>0</v>
      </c>
    </row>
    <row r="116" spans="1:32" ht="12.75">
      <c r="A116" s="5" t="s">
        <v>89</v>
      </c>
      <c r="B116" s="5" t="s">
        <v>157</v>
      </c>
      <c r="C116" s="5" t="s">
        <v>243</v>
      </c>
      <c r="D116" s="5" t="s">
        <v>413</v>
      </c>
      <c r="E116" s="5" t="s">
        <v>499</v>
      </c>
      <c r="F116" s="13">
        <v>1</v>
      </c>
      <c r="H116" s="13">
        <f t="shared" si="32"/>
        <v>0</v>
      </c>
      <c r="I116" s="13">
        <f t="shared" si="33"/>
        <v>0</v>
      </c>
      <c r="J116" s="13">
        <f t="shared" si="34"/>
        <v>0</v>
      </c>
      <c r="K116" s="13">
        <v>0.00671</v>
      </c>
      <c r="L116" s="13">
        <f t="shared" si="35"/>
        <v>0.00671</v>
      </c>
      <c r="N116" s="25" t="s">
        <v>7</v>
      </c>
      <c r="O116" s="13">
        <f t="shared" si="36"/>
        <v>0</v>
      </c>
      <c r="Z116" s="13">
        <f t="shared" si="37"/>
        <v>0</v>
      </c>
      <c r="AA116" s="13">
        <f t="shared" si="38"/>
        <v>0</v>
      </c>
      <c r="AB116" s="13">
        <f t="shared" si="39"/>
        <v>0</v>
      </c>
      <c r="AD116" s="13">
        <v>21</v>
      </c>
      <c r="AE116" s="13">
        <f>G116*0.955664853144488</f>
        <v>0</v>
      </c>
      <c r="AF116" s="13">
        <f>G116*(1-0.955664853144488)</f>
        <v>0</v>
      </c>
    </row>
    <row r="117" spans="1:32" ht="12.75">
      <c r="A117" s="5" t="s">
        <v>90</v>
      </c>
      <c r="B117" s="5" t="s">
        <v>157</v>
      </c>
      <c r="C117" s="5" t="s">
        <v>244</v>
      </c>
      <c r="D117" s="5" t="s">
        <v>414</v>
      </c>
      <c r="E117" s="5" t="s">
        <v>499</v>
      </c>
      <c r="F117" s="13">
        <v>1</v>
      </c>
      <c r="H117" s="13">
        <f t="shared" si="32"/>
        <v>0</v>
      </c>
      <c r="I117" s="13">
        <f t="shared" si="33"/>
        <v>0</v>
      </c>
      <c r="J117" s="13">
        <f t="shared" si="34"/>
        <v>0</v>
      </c>
      <c r="K117" s="13">
        <v>0.00571</v>
      </c>
      <c r="L117" s="13">
        <f t="shared" si="35"/>
        <v>0.00571</v>
      </c>
      <c r="N117" s="25" t="s">
        <v>7</v>
      </c>
      <c r="O117" s="13">
        <f t="shared" si="36"/>
        <v>0</v>
      </c>
      <c r="Z117" s="13">
        <f t="shared" si="37"/>
        <v>0</v>
      </c>
      <c r="AA117" s="13">
        <f t="shared" si="38"/>
        <v>0</v>
      </c>
      <c r="AB117" s="13">
        <f t="shared" si="39"/>
        <v>0</v>
      </c>
      <c r="AD117" s="13">
        <v>21</v>
      </c>
      <c r="AE117" s="13">
        <f>G117*0.973987687922866</f>
        <v>0</v>
      </c>
      <c r="AF117" s="13">
        <f>G117*(1-0.973987687922866)</f>
        <v>0</v>
      </c>
    </row>
    <row r="118" spans="1:32" ht="12.75">
      <c r="A118" s="5" t="s">
        <v>91</v>
      </c>
      <c r="B118" s="5" t="s">
        <v>157</v>
      </c>
      <c r="C118" s="5" t="s">
        <v>245</v>
      </c>
      <c r="D118" s="5" t="s">
        <v>415</v>
      </c>
      <c r="E118" s="5" t="s">
        <v>491</v>
      </c>
      <c r="F118" s="13">
        <v>0.4988</v>
      </c>
      <c r="H118" s="13">
        <f t="shared" si="32"/>
        <v>0</v>
      </c>
      <c r="I118" s="13">
        <f t="shared" si="33"/>
        <v>0</v>
      </c>
      <c r="J118" s="13">
        <f t="shared" si="34"/>
        <v>0</v>
      </c>
      <c r="K118" s="13">
        <v>0</v>
      </c>
      <c r="L118" s="13">
        <f t="shared" si="35"/>
        <v>0</v>
      </c>
      <c r="N118" s="25" t="s">
        <v>7</v>
      </c>
      <c r="O118" s="13">
        <f t="shared" si="36"/>
        <v>0</v>
      </c>
      <c r="Z118" s="13">
        <f t="shared" si="37"/>
        <v>0</v>
      </c>
      <c r="AA118" s="13">
        <f t="shared" si="38"/>
        <v>0</v>
      </c>
      <c r="AB118" s="13">
        <f t="shared" si="39"/>
        <v>0</v>
      </c>
      <c r="AD118" s="13">
        <v>21</v>
      </c>
      <c r="AE118" s="13">
        <f>G118*0</f>
        <v>0</v>
      </c>
      <c r="AF118" s="13">
        <f>G118*(1-0)</f>
        <v>0</v>
      </c>
    </row>
    <row r="119" spans="1:37" ht="12.75">
      <c r="A119" s="4"/>
      <c r="B119" s="4"/>
      <c r="C119" s="11" t="s">
        <v>246</v>
      </c>
      <c r="D119" s="44" t="s">
        <v>416</v>
      </c>
      <c r="E119" s="45"/>
      <c r="F119" s="45"/>
      <c r="G119" s="45"/>
      <c r="H119" s="27">
        <f>SUM(H120:H128)</f>
        <v>0</v>
      </c>
      <c r="I119" s="27">
        <f>SUM(I120:I128)</f>
        <v>0</v>
      </c>
      <c r="J119" s="27">
        <f>H119+I119</f>
        <v>0</v>
      </c>
      <c r="K119" s="22"/>
      <c r="L119" s="27">
        <f>SUM(L120:L128)</f>
        <v>0.50898</v>
      </c>
      <c r="P119" s="27">
        <f>IF(Q119="PR",J119,SUM(O120:O128))</f>
        <v>0</v>
      </c>
      <c r="Q119" s="22" t="s">
        <v>526</v>
      </c>
      <c r="R119" s="27">
        <f>IF(Q119="HS",H119,0)</f>
        <v>0</v>
      </c>
      <c r="S119" s="27">
        <f>IF(Q119="HS",I119-P119,0)</f>
        <v>0</v>
      </c>
      <c r="T119" s="27">
        <f>IF(Q119="PS",H119,0)</f>
        <v>0</v>
      </c>
      <c r="U119" s="27">
        <f>IF(Q119="PS",I119-P119,0)</f>
        <v>0</v>
      </c>
      <c r="V119" s="27">
        <f>IF(Q119="MP",H119,0)</f>
        <v>0</v>
      </c>
      <c r="W119" s="27">
        <f>IF(Q119="MP",I119-P119,0)</f>
        <v>0</v>
      </c>
      <c r="X119" s="27">
        <f>IF(Q119="OM",H119,0)</f>
        <v>0</v>
      </c>
      <c r="Y119" s="22" t="s">
        <v>157</v>
      </c>
      <c r="AI119" s="27">
        <f>SUM(Z120:Z128)</f>
        <v>0</v>
      </c>
      <c r="AJ119" s="27">
        <f>SUM(AA120:AA128)</f>
        <v>0</v>
      </c>
      <c r="AK119" s="27">
        <f>SUM(AB120:AB128)</f>
        <v>0</v>
      </c>
    </row>
    <row r="120" spans="1:32" ht="12.75">
      <c r="A120" s="5" t="s">
        <v>92</v>
      </c>
      <c r="B120" s="5" t="s">
        <v>157</v>
      </c>
      <c r="C120" s="5" t="s">
        <v>247</v>
      </c>
      <c r="D120" s="5" t="s">
        <v>417</v>
      </c>
      <c r="E120" s="5" t="s">
        <v>493</v>
      </c>
      <c r="F120" s="13">
        <v>17</v>
      </c>
      <c r="H120" s="13">
        <f aca="true" t="shared" si="40" ref="H120:H128">ROUND(F120*AE120,2)</f>
        <v>0</v>
      </c>
      <c r="I120" s="13">
        <f aca="true" t="shared" si="41" ref="I120:I128">J120-H120</f>
        <v>0</v>
      </c>
      <c r="J120" s="13">
        <f aca="true" t="shared" si="42" ref="J120:J128">ROUND(F120*G120,2)</f>
        <v>0</v>
      </c>
      <c r="K120" s="13">
        <v>0.00942</v>
      </c>
      <c r="L120" s="13">
        <f aca="true" t="shared" si="43" ref="L120:L128">F120*K120</f>
        <v>0.16014</v>
      </c>
      <c r="N120" s="25" t="s">
        <v>7</v>
      </c>
      <c r="O120" s="13">
        <f aca="true" t="shared" si="44" ref="O120:O128">IF(N120="5",I120,0)</f>
        <v>0</v>
      </c>
      <c r="Z120" s="13">
        <f aca="true" t="shared" si="45" ref="Z120:Z128">IF(AD120=0,J120,0)</f>
        <v>0</v>
      </c>
      <c r="AA120" s="13">
        <f aca="true" t="shared" si="46" ref="AA120:AA128">IF(AD120=15,J120,0)</f>
        <v>0</v>
      </c>
      <c r="AB120" s="13">
        <f aca="true" t="shared" si="47" ref="AB120:AB128">IF(AD120=21,J120,0)</f>
        <v>0</v>
      </c>
      <c r="AD120" s="13">
        <v>21</v>
      </c>
      <c r="AE120" s="13">
        <f>G120*0.683497416902232</f>
        <v>0</v>
      </c>
      <c r="AF120" s="13">
        <f>G120*(1-0.683497416902232)</f>
        <v>0</v>
      </c>
    </row>
    <row r="121" spans="1:32" ht="12.75">
      <c r="A121" s="5" t="s">
        <v>93</v>
      </c>
      <c r="B121" s="5" t="s">
        <v>157</v>
      </c>
      <c r="C121" s="5" t="s">
        <v>248</v>
      </c>
      <c r="D121" s="5" t="s">
        <v>418</v>
      </c>
      <c r="E121" s="5" t="s">
        <v>493</v>
      </c>
      <c r="F121" s="13">
        <v>27</v>
      </c>
      <c r="H121" s="13">
        <f t="shared" si="40"/>
        <v>0</v>
      </c>
      <c r="I121" s="13">
        <f t="shared" si="41"/>
        <v>0</v>
      </c>
      <c r="J121" s="13">
        <f t="shared" si="42"/>
        <v>0</v>
      </c>
      <c r="K121" s="13">
        <v>0.00662</v>
      </c>
      <c r="L121" s="13">
        <f t="shared" si="43"/>
        <v>0.17874</v>
      </c>
      <c r="N121" s="25" t="s">
        <v>7</v>
      </c>
      <c r="O121" s="13">
        <f t="shared" si="44"/>
        <v>0</v>
      </c>
      <c r="Z121" s="13">
        <f t="shared" si="45"/>
        <v>0</v>
      </c>
      <c r="AA121" s="13">
        <f t="shared" si="46"/>
        <v>0</v>
      </c>
      <c r="AB121" s="13">
        <f t="shared" si="47"/>
        <v>0</v>
      </c>
      <c r="AD121" s="13">
        <v>21</v>
      </c>
      <c r="AE121" s="13">
        <f>G121*0.593477619545686</f>
        <v>0</v>
      </c>
      <c r="AF121" s="13">
        <f>G121*(1-0.593477619545686)</f>
        <v>0</v>
      </c>
    </row>
    <row r="122" spans="1:32" ht="12.75">
      <c r="A122" s="5" t="s">
        <v>94</v>
      </c>
      <c r="B122" s="5" t="s">
        <v>157</v>
      </c>
      <c r="C122" s="5" t="s">
        <v>249</v>
      </c>
      <c r="D122" s="5" t="s">
        <v>419</v>
      </c>
      <c r="E122" s="5" t="s">
        <v>493</v>
      </c>
      <c r="F122" s="13">
        <v>6</v>
      </c>
      <c r="H122" s="13">
        <f t="shared" si="40"/>
        <v>0</v>
      </c>
      <c r="I122" s="13">
        <f t="shared" si="41"/>
        <v>0</v>
      </c>
      <c r="J122" s="13">
        <f t="shared" si="42"/>
        <v>0</v>
      </c>
      <c r="K122" s="13">
        <v>0.0069</v>
      </c>
      <c r="L122" s="13">
        <f t="shared" si="43"/>
        <v>0.0414</v>
      </c>
      <c r="N122" s="25" t="s">
        <v>7</v>
      </c>
      <c r="O122" s="13">
        <f t="shared" si="44"/>
        <v>0</v>
      </c>
      <c r="Z122" s="13">
        <f t="shared" si="45"/>
        <v>0</v>
      </c>
      <c r="AA122" s="13">
        <f t="shared" si="46"/>
        <v>0</v>
      </c>
      <c r="AB122" s="13">
        <f t="shared" si="47"/>
        <v>0</v>
      </c>
      <c r="AD122" s="13">
        <v>21</v>
      </c>
      <c r="AE122" s="13">
        <f>G122*0.773426175542219</f>
        <v>0</v>
      </c>
      <c r="AF122" s="13">
        <f>G122*(1-0.773426175542219)</f>
        <v>0</v>
      </c>
    </row>
    <row r="123" spans="1:32" ht="12.75">
      <c r="A123" s="5" t="s">
        <v>95</v>
      </c>
      <c r="B123" s="5" t="s">
        <v>157</v>
      </c>
      <c r="C123" s="5" t="s">
        <v>250</v>
      </c>
      <c r="D123" s="5" t="s">
        <v>420</v>
      </c>
      <c r="E123" s="5" t="s">
        <v>493</v>
      </c>
      <c r="F123" s="13">
        <v>33</v>
      </c>
      <c r="H123" s="13">
        <f t="shared" si="40"/>
        <v>0</v>
      </c>
      <c r="I123" s="13">
        <f t="shared" si="41"/>
        <v>0</v>
      </c>
      <c r="J123" s="13">
        <f t="shared" si="42"/>
        <v>0</v>
      </c>
      <c r="K123" s="13">
        <v>0</v>
      </c>
      <c r="L123" s="13">
        <f t="shared" si="43"/>
        <v>0</v>
      </c>
      <c r="N123" s="25" t="s">
        <v>7</v>
      </c>
      <c r="O123" s="13">
        <f t="shared" si="44"/>
        <v>0</v>
      </c>
      <c r="Z123" s="13">
        <f t="shared" si="45"/>
        <v>0</v>
      </c>
      <c r="AA123" s="13">
        <f t="shared" si="46"/>
        <v>0</v>
      </c>
      <c r="AB123" s="13">
        <f t="shared" si="47"/>
        <v>0</v>
      </c>
      <c r="AD123" s="13">
        <v>21</v>
      </c>
      <c r="AE123" s="13">
        <f>G123*0.0271816881258941</f>
        <v>0</v>
      </c>
      <c r="AF123" s="13">
        <f>G123*(1-0.0271816881258941)</f>
        <v>0</v>
      </c>
    </row>
    <row r="124" spans="1:32" ht="12.75">
      <c r="A124" s="5" t="s">
        <v>96</v>
      </c>
      <c r="B124" s="5" t="s">
        <v>157</v>
      </c>
      <c r="C124" s="5" t="s">
        <v>251</v>
      </c>
      <c r="D124" s="5" t="s">
        <v>421</v>
      </c>
      <c r="E124" s="5" t="s">
        <v>493</v>
      </c>
      <c r="F124" s="13">
        <v>17</v>
      </c>
      <c r="H124" s="13">
        <f t="shared" si="40"/>
        <v>0</v>
      </c>
      <c r="I124" s="13">
        <f t="shared" si="41"/>
        <v>0</v>
      </c>
      <c r="J124" s="13">
        <f t="shared" si="42"/>
        <v>0</v>
      </c>
      <c r="K124" s="13">
        <v>0</v>
      </c>
      <c r="L124" s="13">
        <f t="shared" si="43"/>
        <v>0</v>
      </c>
      <c r="N124" s="25" t="s">
        <v>7</v>
      </c>
      <c r="O124" s="13">
        <f t="shared" si="44"/>
        <v>0</v>
      </c>
      <c r="Z124" s="13">
        <f t="shared" si="45"/>
        <v>0</v>
      </c>
      <c r="AA124" s="13">
        <f t="shared" si="46"/>
        <v>0</v>
      </c>
      <c r="AB124" s="13">
        <f t="shared" si="47"/>
        <v>0</v>
      </c>
      <c r="AD124" s="13">
        <v>21</v>
      </c>
      <c r="AE124" s="13">
        <f>G124*0.0436602870813397</f>
        <v>0</v>
      </c>
      <c r="AF124" s="13">
        <f>G124*(1-0.0436602870813397)</f>
        <v>0</v>
      </c>
    </row>
    <row r="125" spans="1:32" ht="12.75">
      <c r="A125" s="5" t="s">
        <v>97</v>
      </c>
      <c r="B125" s="5" t="s">
        <v>157</v>
      </c>
      <c r="C125" s="5" t="s">
        <v>252</v>
      </c>
      <c r="D125" s="5" t="s">
        <v>422</v>
      </c>
      <c r="E125" s="5" t="s">
        <v>491</v>
      </c>
      <c r="F125" s="13">
        <v>0.8218</v>
      </c>
      <c r="H125" s="13">
        <f t="shared" si="40"/>
        <v>0</v>
      </c>
      <c r="I125" s="13">
        <f t="shared" si="41"/>
        <v>0</v>
      </c>
      <c r="J125" s="13">
        <f t="shared" si="42"/>
        <v>0</v>
      </c>
      <c r="K125" s="13">
        <v>0</v>
      </c>
      <c r="L125" s="13">
        <f t="shared" si="43"/>
        <v>0</v>
      </c>
      <c r="N125" s="25" t="s">
        <v>11</v>
      </c>
      <c r="O125" s="13">
        <f t="shared" si="44"/>
        <v>0</v>
      </c>
      <c r="Z125" s="13">
        <f t="shared" si="45"/>
        <v>0</v>
      </c>
      <c r="AA125" s="13">
        <f t="shared" si="46"/>
        <v>0</v>
      </c>
      <c r="AB125" s="13">
        <f t="shared" si="47"/>
        <v>0</v>
      </c>
      <c r="AD125" s="13">
        <v>21</v>
      </c>
      <c r="AE125" s="13">
        <f>G125*0</f>
        <v>0</v>
      </c>
      <c r="AF125" s="13">
        <f>G125*(1-0)</f>
        <v>0</v>
      </c>
    </row>
    <row r="126" spans="1:32" ht="12.75">
      <c r="A126" s="5" t="s">
        <v>98</v>
      </c>
      <c r="B126" s="5" t="s">
        <v>157</v>
      </c>
      <c r="C126" s="5" t="s">
        <v>253</v>
      </c>
      <c r="D126" s="5" t="s">
        <v>423</v>
      </c>
      <c r="E126" s="5" t="s">
        <v>493</v>
      </c>
      <c r="F126" s="13">
        <v>15</v>
      </c>
      <c r="H126" s="13">
        <f t="shared" si="40"/>
        <v>0</v>
      </c>
      <c r="I126" s="13">
        <f t="shared" si="41"/>
        <v>0</v>
      </c>
      <c r="J126" s="13">
        <f t="shared" si="42"/>
        <v>0</v>
      </c>
      <c r="K126" s="13">
        <v>0.00858</v>
      </c>
      <c r="L126" s="13">
        <f t="shared" si="43"/>
        <v>0.1287</v>
      </c>
      <c r="N126" s="25" t="s">
        <v>7</v>
      </c>
      <c r="O126" s="13">
        <f t="shared" si="44"/>
        <v>0</v>
      </c>
      <c r="Z126" s="13">
        <f t="shared" si="45"/>
        <v>0</v>
      </c>
      <c r="AA126" s="13">
        <f t="shared" si="46"/>
        <v>0</v>
      </c>
      <c r="AB126" s="13">
        <f t="shared" si="47"/>
        <v>0</v>
      </c>
      <c r="AD126" s="13">
        <v>21</v>
      </c>
      <c r="AE126" s="13">
        <f>G126*0.378436426116838</f>
        <v>0</v>
      </c>
      <c r="AF126" s="13">
        <f>G126*(1-0.378436426116838)</f>
        <v>0</v>
      </c>
    </row>
    <row r="127" spans="1:32" ht="12.75">
      <c r="A127" s="5" t="s">
        <v>99</v>
      </c>
      <c r="B127" s="5" t="s">
        <v>157</v>
      </c>
      <c r="C127" s="5" t="s">
        <v>254</v>
      </c>
      <c r="D127" s="5" t="s">
        <v>424</v>
      </c>
      <c r="E127" s="5" t="s">
        <v>491</v>
      </c>
      <c r="F127" s="13">
        <v>0.0063</v>
      </c>
      <c r="H127" s="13">
        <f t="shared" si="40"/>
        <v>0</v>
      </c>
      <c r="I127" s="13">
        <f t="shared" si="41"/>
        <v>0</v>
      </c>
      <c r="J127" s="13">
        <f t="shared" si="42"/>
        <v>0</v>
      </c>
      <c r="K127" s="13">
        <v>0</v>
      </c>
      <c r="L127" s="13">
        <f t="shared" si="43"/>
        <v>0</v>
      </c>
      <c r="N127" s="25" t="s">
        <v>7</v>
      </c>
      <c r="O127" s="13">
        <f t="shared" si="44"/>
        <v>0</v>
      </c>
      <c r="Z127" s="13">
        <f t="shared" si="45"/>
        <v>0</v>
      </c>
      <c r="AA127" s="13">
        <f t="shared" si="46"/>
        <v>0</v>
      </c>
      <c r="AB127" s="13">
        <f t="shared" si="47"/>
        <v>0</v>
      </c>
      <c r="AD127" s="13">
        <v>21</v>
      </c>
      <c r="AE127" s="13">
        <f>G127*0</f>
        <v>0</v>
      </c>
      <c r="AF127" s="13">
        <f>G127*(1-0)</f>
        <v>0</v>
      </c>
    </row>
    <row r="128" spans="1:32" ht="12.75">
      <c r="A128" s="5" t="s">
        <v>100</v>
      </c>
      <c r="B128" s="5" t="s">
        <v>157</v>
      </c>
      <c r="C128" s="5" t="s">
        <v>255</v>
      </c>
      <c r="D128" s="5" t="s">
        <v>425</v>
      </c>
      <c r="E128" s="5" t="s">
        <v>499</v>
      </c>
      <c r="F128" s="13">
        <v>1</v>
      </c>
      <c r="H128" s="13">
        <f t="shared" si="40"/>
        <v>0</v>
      </c>
      <c r="I128" s="13">
        <f t="shared" si="41"/>
        <v>0</v>
      </c>
      <c r="J128" s="13">
        <f t="shared" si="42"/>
        <v>0</v>
      </c>
      <c r="K128" s="13">
        <v>0</v>
      </c>
      <c r="L128" s="13">
        <f t="shared" si="43"/>
        <v>0</v>
      </c>
      <c r="N128" s="25" t="s">
        <v>7</v>
      </c>
      <c r="O128" s="13">
        <f t="shared" si="44"/>
        <v>0</v>
      </c>
      <c r="Z128" s="13">
        <f t="shared" si="45"/>
        <v>0</v>
      </c>
      <c r="AA128" s="13">
        <f t="shared" si="46"/>
        <v>0</v>
      </c>
      <c r="AB128" s="13">
        <f t="shared" si="47"/>
        <v>0</v>
      </c>
      <c r="AD128" s="13">
        <v>21</v>
      </c>
      <c r="AE128" s="13">
        <f>G128*0.875</f>
        <v>0</v>
      </c>
      <c r="AF128" s="13">
        <f>G128*(1-0.875)</f>
        <v>0</v>
      </c>
    </row>
    <row r="129" spans="1:37" ht="12.75">
      <c r="A129" s="4"/>
      <c r="B129" s="4"/>
      <c r="C129" s="11" t="s">
        <v>256</v>
      </c>
      <c r="D129" s="44" t="s">
        <v>426</v>
      </c>
      <c r="E129" s="45"/>
      <c r="F129" s="45"/>
      <c r="G129" s="45"/>
      <c r="H129" s="27">
        <f>SUM(H130:H145)</f>
        <v>0</v>
      </c>
      <c r="I129" s="27">
        <f>SUM(I130:I145)</f>
        <v>0</v>
      </c>
      <c r="J129" s="27">
        <f>H129+I129</f>
        <v>0</v>
      </c>
      <c r="K129" s="22"/>
      <c r="L129" s="27">
        <f>SUM(L130:L145)</f>
        <v>0.26102</v>
      </c>
      <c r="P129" s="27">
        <f>IF(Q129="PR",J129,SUM(O130:O145))</f>
        <v>0</v>
      </c>
      <c r="Q129" s="22" t="s">
        <v>526</v>
      </c>
      <c r="R129" s="27">
        <f>IF(Q129="HS",H129,0)</f>
        <v>0</v>
      </c>
      <c r="S129" s="27">
        <f>IF(Q129="HS",I129-P129,0)</f>
        <v>0</v>
      </c>
      <c r="T129" s="27">
        <f>IF(Q129="PS",H129,0)</f>
        <v>0</v>
      </c>
      <c r="U129" s="27">
        <f>IF(Q129="PS",I129-P129,0)</f>
        <v>0</v>
      </c>
      <c r="V129" s="27">
        <f>IF(Q129="MP",H129,0)</f>
        <v>0</v>
      </c>
      <c r="W129" s="27">
        <f>IF(Q129="MP",I129-P129,0)</f>
        <v>0</v>
      </c>
      <c r="X129" s="27">
        <f>IF(Q129="OM",H129,0)</f>
        <v>0</v>
      </c>
      <c r="Y129" s="22" t="s">
        <v>157</v>
      </c>
      <c r="AI129" s="27">
        <f>SUM(Z130:Z145)</f>
        <v>0</v>
      </c>
      <c r="AJ129" s="27">
        <f>SUM(AA130:AA145)</f>
        <v>0</v>
      </c>
      <c r="AK129" s="27">
        <f>SUM(AB130:AB145)</f>
        <v>0</v>
      </c>
    </row>
    <row r="130" spans="1:32" ht="12.75">
      <c r="A130" s="5" t="s">
        <v>101</v>
      </c>
      <c r="B130" s="5" t="s">
        <v>157</v>
      </c>
      <c r="C130" s="5" t="s">
        <v>257</v>
      </c>
      <c r="D130" s="5" t="s">
        <v>427</v>
      </c>
      <c r="E130" s="5" t="s">
        <v>497</v>
      </c>
      <c r="F130" s="13">
        <v>4</v>
      </c>
      <c r="H130" s="13">
        <f aca="true" t="shared" si="48" ref="H130:H145">ROUND(F130*AE130,2)</f>
        <v>0</v>
      </c>
      <c r="I130" s="13">
        <f aca="true" t="shared" si="49" ref="I130:I145">J130-H130</f>
        <v>0</v>
      </c>
      <c r="J130" s="13">
        <f aca="true" t="shared" si="50" ref="J130:J145">ROUND(F130*G130,2)</f>
        <v>0</v>
      </c>
      <c r="K130" s="13">
        <v>0.0004</v>
      </c>
      <c r="L130" s="13">
        <f aca="true" t="shared" si="51" ref="L130:L145">F130*K130</f>
        <v>0.0016</v>
      </c>
      <c r="N130" s="25" t="s">
        <v>7</v>
      </c>
      <c r="O130" s="13">
        <f aca="true" t="shared" si="52" ref="O130:O145">IF(N130="5",I130,0)</f>
        <v>0</v>
      </c>
      <c r="Z130" s="13">
        <f aca="true" t="shared" si="53" ref="Z130:Z145">IF(AD130=0,J130,0)</f>
        <v>0</v>
      </c>
      <c r="AA130" s="13">
        <f aca="true" t="shared" si="54" ref="AA130:AA145">IF(AD130=15,J130,0)</f>
        <v>0</v>
      </c>
      <c r="AB130" s="13">
        <f aca="true" t="shared" si="55" ref="AB130:AB145">IF(AD130=21,J130,0)</f>
        <v>0</v>
      </c>
      <c r="AD130" s="13">
        <v>21</v>
      </c>
      <c r="AE130" s="13">
        <f>G130*0.673832107082705</f>
        <v>0</v>
      </c>
      <c r="AF130" s="13">
        <f>G130*(1-0.673832107082705)</f>
        <v>0</v>
      </c>
    </row>
    <row r="131" spans="1:32" ht="12.75">
      <c r="A131" s="5" t="s">
        <v>102</v>
      </c>
      <c r="B131" s="5" t="s">
        <v>157</v>
      </c>
      <c r="C131" s="5" t="s">
        <v>258</v>
      </c>
      <c r="D131" s="5" t="s">
        <v>428</v>
      </c>
      <c r="E131" s="5" t="s">
        <v>497</v>
      </c>
      <c r="F131" s="13">
        <v>2</v>
      </c>
      <c r="H131" s="13">
        <f t="shared" si="48"/>
        <v>0</v>
      </c>
      <c r="I131" s="13">
        <f t="shared" si="49"/>
        <v>0</v>
      </c>
      <c r="J131" s="13">
        <f t="shared" si="50"/>
        <v>0</v>
      </c>
      <c r="K131" s="13">
        <v>0.0008</v>
      </c>
      <c r="L131" s="13">
        <f t="shared" si="51"/>
        <v>0.0016</v>
      </c>
      <c r="N131" s="25" t="s">
        <v>7</v>
      </c>
      <c r="O131" s="13">
        <f t="shared" si="52"/>
        <v>0</v>
      </c>
      <c r="Z131" s="13">
        <f t="shared" si="53"/>
        <v>0</v>
      </c>
      <c r="AA131" s="13">
        <f t="shared" si="54"/>
        <v>0</v>
      </c>
      <c r="AB131" s="13">
        <f t="shared" si="55"/>
        <v>0</v>
      </c>
      <c r="AD131" s="13">
        <v>21</v>
      </c>
      <c r="AE131" s="13">
        <f>G131*0.748520513332003</f>
        <v>0</v>
      </c>
      <c r="AF131" s="13">
        <f>G131*(1-0.748520513332003)</f>
        <v>0</v>
      </c>
    </row>
    <row r="132" spans="1:32" ht="12.75">
      <c r="A132" s="5" t="s">
        <v>103</v>
      </c>
      <c r="B132" s="5" t="s">
        <v>157</v>
      </c>
      <c r="C132" s="5" t="s">
        <v>259</v>
      </c>
      <c r="D132" s="5" t="s">
        <v>429</v>
      </c>
      <c r="E132" s="5" t="s">
        <v>497</v>
      </c>
      <c r="F132" s="13">
        <v>3</v>
      </c>
      <c r="H132" s="13">
        <f t="shared" si="48"/>
        <v>0</v>
      </c>
      <c r="I132" s="13">
        <f t="shared" si="49"/>
        <v>0</v>
      </c>
      <c r="J132" s="13">
        <f t="shared" si="50"/>
        <v>0</v>
      </c>
      <c r="K132" s="13">
        <v>0.00135</v>
      </c>
      <c r="L132" s="13">
        <f t="shared" si="51"/>
        <v>0.00405</v>
      </c>
      <c r="N132" s="25" t="s">
        <v>7</v>
      </c>
      <c r="O132" s="13">
        <f t="shared" si="52"/>
        <v>0</v>
      </c>
      <c r="Z132" s="13">
        <f t="shared" si="53"/>
        <v>0</v>
      </c>
      <c r="AA132" s="13">
        <f t="shared" si="54"/>
        <v>0</v>
      </c>
      <c r="AB132" s="13">
        <f t="shared" si="55"/>
        <v>0</v>
      </c>
      <c r="AD132" s="13">
        <v>21</v>
      </c>
      <c r="AE132" s="13">
        <f>G132*0.794372717298183</f>
        <v>0</v>
      </c>
      <c r="AF132" s="13">
        <f>G132*(1-0.794372717298183)</f>
        <v>0</v>
      </c>
    </row>
    <row r="133" spans="1:32" ht="12.75">
      <c r="A133" s="5" t="s">
        <v>104</v>
      </c>
      <c r="B133" s="5" t="s">
        <v>157</v>
      </c>
      <c r="C133" s="5" t="s">
        <v>257</v>
      </c>
      <c r="D133" s="5" t="s">
        <v>430</v>
      </c>
      <c r="E133" s="5" t="s">
        <v>497</v>
      </c>
      <c r="F133" s="13">
        <v>3</v>
      </c>
      <c r="H133" s="13">
        <f t="shared" si="48"/>
        <v>0</v>
      </c>
      <c r="I133" s="13">
        <f t="shared" si="49"/>
        <v>0</v>
      </c>
      <c r="J133" s="13">
        <f t="shared" si="50"/>
        <v>0</v>
      </c>
      <c r="K133" s="13">
        <v>0.0004</v>
      </c>
      <c r="L133" s="13">
        <f t="shared" si="51"/>
        <v>0.0012000000000000001</v>
      </c>
      <c r="N133" s="25" t="s">
        <v>7</v>
      </c>
      <c r="O133" s="13">
        <f t="shared" si="52"/>
        <v>0</v>
      </c>
      <c r="Z133" s="13">
        <f t="shared" si="53"/>
        <v>0</v>
      </c>
      <c r="AA133" s="13">
        <f t="shared" si="54"/>
        <v>0</v>
      </c>
      <c r="AB133" s="13">
        <f t="shared" si="55"/>
        <v>0</v>
      </c>
      <c r="AD133" s="13">
        <v>21</v>
      </c>
      <c r="AE133" s="13">
        <f>G133*0.673832107082705</f>
        <v>0</v>
      </c>
      <c r="AF133" s="13">
        <f>G133*(1-0.673832107082705)</f>
        <v>0</v>
      </c>
    </row>
    <row r="134" spans="1:32" ht="12.75">
      <c r="A134" s="5" t="s">
        <v>105</v>
      </c>
      <c r="B134" s="5" t="s">
        <v>157</v>
      </c>
      <c r="C134" s="5" t="s">
        <v>259</v>
      </c>
      <c r="D134" s="5" t="s">
        <v>431</v>
      </c>
      <c r="E134" s="5" t="s">
        <v>497</v>
      </c>
      <c r="F134" s="13">
        <v>1</v>
      </c>
      <c r="H134" s="13">
        <f t="shared" si="48"/>
        <v>0</v>
      </c>
      <c r="I134" s="13">
        <f t="shared" si="49"/>
        <v>0</v>
      </c>
      <c r="J134" s="13">
        <f t="shared" si="50"/>
        <v>0</v>
      </c>
      <c r="K134" s="13">
        <v>0.00135</v>
      </c>
      <c r="L134" s="13">
        <f t="shared" si="51"/>
        <v>0.00135</v>
      </c>
      <c r="N134" s="25" t="s">
        <v>7</v>
      </c>
      <c r="O134" s="13">
        <f t="shared" si="52"/>
        <v>0</v>
      </c>
      <c r="Z134" s="13">
        <f t="shared" si="53"/>
        <v>0</v>
      </c>
      <c r="AA134" s="13">
        <f t="shared" si="54"/>
        <v>0</v>
      </c>
      <c r="AB134" s="13">
        <f t="shared" si="55"/>
        <v>0</v>
      </c>
      <c r="AD134" s="13">
        <v>21</v>
      </c>
      <c r="AE134" s="13">
        <f>G134*0.794372717298183</f>
        <v>0</v>
      </c>
      <c r="AF134" s="13">
        <f>G134*(1-0.794372717298183)</f>
        <v>0</v>
      </c>
    </row>
    <row r="135" spans="1:32" ht="12.75">
      <c r="A135" s="5" t="s">
        <v>106</v>
      </c>
      <c r="B135" s="5" t="s">
        <v>157</v>
      </c>
      <c r="C135" s="5" t="s">
        <v>260</v>
      </c>
      <c r="D135" s="5" t="s">
        <v>432</v>
      </c>
      <c r="E135" s="5" t="s">
        <v>497</v>
      </c>
      <c r="F135" s="13">
        <v>2</v>
      </c>
      <c r="H135" s="13">
        <f t="shared" si="48"/>
        <v>0</v>
      </c>
      <c r="I135" s="13">
        <f t="shared" si="49"/>
        <v>0</v>
      </c>
      <c r="J135" s="13">
        <f t="shared" si="50"/>
        <v>0</v>
      </c>
      <c r="K135" s="13">
        <v>0.00012</v>
      </c>
      <c r="L135" s="13">
        <f t="shared" si="51"/>
        <v>0.00024</v>
      </c>
      <c r="N135" s="25" t="s">
        <v>7</v>
      </c>
      <c r="O135" s="13">
        <f t="shared" si="52"/>
        <v>0</v>
      </c>
      <c r="Z135" s="13">
        <f t="shared" si="53"/>
        <v>0</v>
      </c>
      <c r="AA135" s="13">
        <f t="shared" si="54"/>
        <v>0</v>
      </c>
      <c r="AB135" s="13">
        <f t="shared" si="55"/>
        <v>0</v>
      </c>
      <c r="AD135" s="13">
        <v>21</v>
      </c>
      <c r="AE135" s="13">
        <f>G135*0.641943905214539</f>
        <v>0</v>
      </c>
      <c r="AF135" s="13">
        <f>G135*(1-0.641943905214539)</f>
        <v>0</v>
      </c>
    </row>
    <row r="136" spans="1:32" ht="12.75">
      <c r="A136" s="5" t="s">
        <v>107</v>
      </c>
      <c r="B136" s="5" t="s">
        <v>157</v>
      </c>
      <c r="C136" s="5" t="s">
        <v>258</v>
      </c>
      <c r="D136" s="5" t="s">
        <v>433</v>
      </c>
      <c r="E136" s="5" t="s">
        <v>497</v>
      </c>
      <c r="F136" s="13">
        <v>1</v>
      </c>
      <c r="H136" s="13">
        <f t="shared" si="48"/>
        <v>0</v>
      </c>
      <c r="I136" s="13">
        <f t="shared" si="49"/>
        <v>0</v>
      </c>
      <c r="J136" s="13">
        <f t="shared" si="50"/>
        <v>0</v>
      </c>
      <c r="K136" s="13">
        <v>0.0008</v>
      </c>
      <c r="L136" s="13">
        <f t="shared" si="51"/>
        <v>0.0008</v>
      </c>
      <c r="N136" s="25" t="s">
        <v>7</v>
      </c>
      <c r="O136" s="13">
        <f t="shared" si="52"/>
        <v>0</v>
      </c>
      <c r="Z136" s="13">
        <f t="shared" si="53"/>
        <v>0</v>
      </c>
      <c r="AA136" s="13">
        <f t="shared" si="54"/>
        <v>0</v>
      </c>
      <c r="AB136" s="13">
        <f t="shared" si="55"/>
        <v>0</v>
      </c>
      <c r="AD136" s="13">
        <v>21</v>
      </c>
      <c r="AE136" s="13">
        <f>G136*0.748520513332003</f>
        <v>0</v>
      </c>
      <c r="AF136" s="13">
        <f>G136*(1-0.748520513332003)</f>
        <v>0</v>
      </c>
    </row>
    <row r="137" spans="1:32" ht="12.75">
      <c r="A137" s="5" t="s">
        <v>108</v>
      </c>
      <c r="B137" s="5" t="s">
        <v>157</v>
      </c>
      <c r="C137" s="5" t="s">
        <v>261</v>
      </c>
      <c r="D137" s="5" t="s">
        <v>434</v>
      </c>
      <c r="E137" s="5" t="s">
        <v>497</v>
      </c>
      <c r="F137" s="13">
        <v>4</v>
      </c>
      <c r="H137" s="13">
        <f t="shared" si="48"/>
        <v>0</v>
      </c>
      <c r="I137" s="13">
        <f t="shared" si="49"/>
        <v>0</v>
      </c>
      <c r="J137" s="13">
        <f t="shared" si="50"/>
        <v>0</v>
      </c>
      <c r="K137" s="13">
        <v>0.00047</v>
      </c>
      <c r="L137" s="13">
        <f t="shared" si="51"/>
        <v>0.00188</v>
      </c>
      <c r="N137" s="25" t="s">
        <v>7</v>
      </c>
      <c r="O137" s="13">
        <f t="shared" si="52"/>
        <v>0</v>
      </c>
      <c r="Z137" s="13">
        <f t="shared" si="53"/>
        <v>0</v>
      </c>
      <c r="AA137" s="13">
        <f t="shared" si="54"/>
        <v>0</v>
      </c>
      <c r="AB137" s="13">
        <f t="shared" si="55"/>
        <v>0</v>
      </c>
      <c r="AD137" s="13">
        <v>21</v>
      </c>
      <c r="AE137" s="13">
        <f>G137*0.77655369607266</f>
        <v>0</v>
      </c>
      <c r="AF137" s="13">
        <f>G137*(1-0.77655369607266)</f>
        <v>0</v>
      </c>
    </row>
    <row r="138" spans="1:32" ht="12.75">
      <c r="A138" s="5" t="s">
        <v>109</v>
      </c>
      <c r="B138" s="5" t="s">
        <v>157</v>
      </c>
      <c r="C138" s="5" t="s">
        <v>262</v>
      </c>
      <c r="D138" s="5" t="s">
        <v>435</v>
      </c>
      <c r="E138" s="5" t="s">
        <v>497</v>
      </c>
      <c r="F138" s="13">
        <v>4</v>
      </c>
      <c r="H138" s="13">
        <f t="shared" si="48"/>
        <v>0</v>
      </c>
      <c r="I138" s="13">
        <f t="shared" si="49"/>
        <v>0</v>
      </c>
      <c r="J138" s="13">
        <f t="shared" si="50"/>
        <v>0</v>
      </c>
      <c r="K138" s="13">
        <v>0.0006</v>
      </c>
      <c r="L138" s="13">
        <f t="shared" si="51"/>
        <v>0.0024</v>
      </c>
      <c r="N138" s="25" t="s">
        <v>7</v>
      </c>
      <c r="O138" s="13">
        <f t="shared" si="52"/>
        <v>0</v>
      </c>
      <c r="Z138" s="13">
        <f t="shared" si="53"/>
        <v>0</v>
      </c>
      <c r="AA138" s="13">
        <f t="shared" si="54"/>
        <v>0</v>
      </c>
      <c r="AB138" s="13">
        <f t="shared" si="55"/>
        <v>0</v>
      </c>
      <c r="AD138" s="13">
        <v>21</v>
      </c>
      <c r="AE138" s="13">
        <f>G138*0.708135441034002</f>
        <v>0</v>
      </c>
      <c r="AF138" s="13">
        <f>G138*(1-0.708135441034002)</f>
        <v>0</v>
      </c>
    </row>
    <row r="139" spans="1:32" ht="12.75">
      <c r="A139" s="5" t="s">
        <v>110</v>
      </c>
      <c r="B139" s="5" t="s">
        <v>157</v>
      </c>
      <c r="C139" s="5" t="s">
        <v>263</v>
      </c>
      <c r="D139" s="5" t="s">
        <v>436</v>
      </c>
      <c r="E139" s="5" t="s">
        <v>497</v>
      </c>
      <c r="F139" s="13">
        <v>2</v>
      </c>
      <c r="H139" s="13">
        <f t="shared" si="48"/>
        <v>0</v>
      </c>
      <c r="I139" s="13">
        <f t="shared" si="49"/>
        <v>0</v>
      </c>
      <c r="J139" s="13">
        <f t="shared" si="50"/>
        <v>0</v>
      </c>
      <c r="K139" s="13">
        <v>0.00297</v>
      </c>
      <c r="L139" s="13">
        <f t="shared" si="51"/>
        <v>0.00594</v>
      </c>
      <c r="N139" s="25" t="s">
        <v>7</v>
      </c>
      <c r="O139" s="13">
        <f t="shared" si="52"/>
        <v>0</v>
      </c>
      <c r="Z139" s="13">
        <f t="shared" si="53"/>
        <v>0</v>
      </c>
      <c r="AA139" s="13">
        <f t="shared" si="54"/>
        <v>0</v>
      </c>
      <c r="AB139" s="13">
        <f t="shared" si="55"/>
        <v>0</v>
      </c>
      <c r="AD139" s="13">
        <v>21</v>
      </c>
      <c r="AE139" s="13">
        <f>G139*0.916446925911155</f>
        <v>0</v>
      </c>
      <c r="AF139" s="13">
        <f>G139*(1-0.916446925911155)</f>
        <v>0</v>
      </c>
    </row>
    <row r="140" spans="1:32" ht="12.75">
      <c r="A140" s="5" t="s">
        <v>111</v>
      </c>
      <c r="B140" s="5" t="s">
        <v>157</v>
      </c>
      <c r="C140" s="5" t="s">
        <v>264</v>
      </c>
      <c r="D140" s="5" t="s">
        <v>437</v>
      </c>
      <c r="E140" s="5" t="s">
        <v>497</v>
      </c>
      <c r="F140" s="13">
        <v>6</v>
      </c>
      <c r="H140" s="13">
        <f t="shared" si="48"/>
        <v>0</v>
      </c>
      <c r="I140" s="13">
        <f t="shared" si="49"/>
        <v>0</v>
      </c>
      <c r="J140" s="13">
        <f t="shared" si="50"/>
        <v>0</v>
      </c>
      <c r="K140" s="13">
        <v>0</v>
      </c>
      <c r="L140" s="13">
        <f t="shared" si="51"/>
        <v>0</v>
      </c>
      <c r="N140" s="25" t="s">
        <v>7</v>
      </c>
      <c r="O140" s="13">
        <f t="shared" si="52"/>
        <v>0</v>
      </c>
      <c r="Z140" s="13">
        <f t="shared" si="53"/>
        <v>0</v>
      </c>
      <c r="AA140" s="13">
        <f t="shared" si="54"/>
        <v>0</v>
      </c>
      <c r="AB140" s="13">
        <f t="shared" si="55"/>
        <v>0</v>
      </c>
      <c r="AD140" s="13">
        <v>21</v>
      </c>
      <c r="AE140" s="13">
        <f>G140*0.0586560364464693</f>
        <v>0</v>
      </c>
      <c r="AF140" s="13">
        <f>G140*(1-0.0586560364464693)</f>
        <v>0</v>
      </c>
    </row>
    <row r="141" spans="1:32" ht="12.75">
      <c r="A141" s="5" t="s">
        <v>112</v>
      </c>
      <c r="B141" s="5" t="s">
        <v>157</v>
      </c>
      <c r="C141" s="5" t="s">
        <v>265</v>
      </c>
      <c r="D141" s="5" t="s">
        <v>438</v>
      </c>
      <c r="E141" s="5" t="s">
        <v>497</v>
      </c>
      <c r="F141" s="13">
        <v>1</v>
      </c>
      <c r="H141" s="13">
        <f t="shared" si="48"/>
        <v>0</v>
      </c>
      <c r="I141" s="13">
        <f t="shared" si="49"/>
        <v>0</v>
      </c>
      <c r="J141" s="13">
        <f t="shared" si="50"/>
        <v>0</v>
      </c>
      <c r="K141" s="13">
        <v>0.00436</v>
      </c>
      <c r="L141" s="13">
        <f t="shared" si="51"/>
        <v>0.00436</v>
      </c>
      <c r="N141" s="25" t="s">
        <v>7</v>
      </c>
      <c r="O141" s="13">
        <f t="shared" si="52"/>
        <v>0</v>
      </c>
      <c r="Z141" s="13">
        <f t="shared" si="53"/>
        <v>0</v>
      </c>
      <c r="AA141" s="13">
        <f t="shared" si="54"/>
        <v>0</v>
      </c>
      <c r="AB141" s="13">
        <f t="shared" si="55"/>
        <v>0</v>
      </c>
      <c r="AD141" s="13">
        <v>21</v>
      </c>
      <c r="AE141" s="13">
        <f>G141*0.858887736609996</f>
        <v>0</v>
      </c>
      <c r="AF141" s="13">
        <f>G141*(1-0.858887736609996)</f>
        <v>0</v>
      </c>
    </row>
    <row r="142" spans="1:32" ht="12.75">
      <c r="A142" s="5" t="s">
        <v>113</v>
      </c>
      <c r="B142" s="5" t="s">
        <v>157</v>
      </c>
      <c r="C142" s="5" t="s">
        <v>266</v>
      </c>
      <c r="D142" s="5" t="s">
        <v>439</v>
      </c>
      <c r="E142" s="5" t="s">
        <v>497</v>
      </c>
      <c r="F142" s="13">
        <v>1</v>
      </c>
      <c r="H142" s="13">
        <f t="shared" si="48"/>
        <v>0</v>
      </c>
      <c r="I142" s="13">
        <f t="shared" si="49"/>
        <v>0</v>
      </c>
      <c r="J142" s="13">
        <f t="shared" si="50"/>
        <v>0</v>
      </c>
      <c r="K142" s="13">
        <v>0.0016</v>
      </c>
      <c r="L142" s="13">
        <f t="shared" si="51"/>
        <v>0.0016</v>
      </c>
      <c r="N142" s="25" t="s">
        <v>7</v>
      </c>
      <c r="O142" s="13">
        <f t="shared" si="52"/>
        <v>0</v>
      </c>
      <c r="Z142" s="13">
        <f t="shared" si="53"/>
        <v>0</v>
      </c>
      <c r="AA142" s="13">
        <f t="shared" si="54"/>
        <v>0</v>
      </c>
      <c r="AB142" s="13">
        <f t="shared" si="55"/>
        <v>0</v>
      </c>
      <c r="AD142" s="13">
        <v>21</v>
      </c>
      <c r="AE142" s="13">
        <f>G142*0.968256684491979</f>
        <v>0</v>
      </c>
      <c r="AF142" s="13">
        <f>G142*(1-0.968256684491979)</f>
        <v>0</v>
      </c>
    </row>
    <row r="143" spans="1:32" ht="12.75">
      <c r="A143" s="5" t="s">
        <v>114</v>
      </c>
      <c r="B143" s="5" t="s">
        <v>157</v>
      </c>
      <c r="C143" s="5" t="s">
        <v>267</v>
      </c>
      <c r="D143" s="5" t="s">
        <v>440</v>
      </c>
      <c r="E143" s="5" t="s">
        <v>491</v>
      </c>
      <c r="F143" s="13">
        <v>0.0335</v>
      </c>
      <c r="H143" s="13">
        <f t="shared" si="48"/>
        <v>0</v>
      </c>
      <c r="I143" s="13">
        <f t="shared" si="49"/>
        <v>0</v>
      </c>
      <c r="J143" s="13">
        <f t="shared" si="50"/>
        <v>0</v>
      </c>
      <c r="K143" s="13">
        <v>0</v>
      </c>
      <c r="L143" s="13">
        <f t="shared" si="51"/>
        <v>0</v>
      </c>
      <c r="N143" s="25" t="s">
        <v>11</v>
      </c>
      <c r="O143" s="13">
        <f t="shared" si="52"/>
        <v>0</v>
      </c>
      <c r="Z143" s="13">
        <f t="shared" si="53"/>
        <v>0</v>
      </c>
      <c r="AA143" s="13">
        <f t="shared" si="54"/>
        <v>0</v>
      </c>
      <c r="AB143" s="13">
        <f t="shared" si="55"/>
        <v>0</v>
      </c>
      <c r="AD143" s="13">
        <v>21</v>
      </c>
      <c r="AE143" s="13">
        <f>G143*0</f>
        <v>0</v>
      </c>
      <c r="AF143" s="13">
        <f>G143*(1-0)</f>
        <v>0</v>
      </c>
    </row>
    <row r="144" spans="1:32" ht="12.75">
      <c r="A144" s="5" t="s">
        <v>115</v>
      </c>
      <c r="B144" s="5" t="s">
        <v>157</v>
      </c>
      <c r="C144" s="5" t="s">
        <v>268</v>
      </c>
      <c r="D144" s="5" t="s">
        <v>441</v>
      </c>
      <c r="E144" s="5" t="s">
        <v>497</v>
      </c>
      <c r="F144" s="13">
        <v>6</v>
      </c>
      <c r="H144" s="13">
        <f t="shared" si="48"/>
        <v>0</v>
      </c>
      <c r="I144" s="13">
        <f t="shared" si="49"/>
        <v>0</v>
      </c>
      <c r="J144" s="13">
        <f t="shared" si="50"/>
        <v>0</v>
      </c>
      <c r="K144" s="13">
        <v>0.039</v>
      </c>
      <c r="L144" s="13">
        <f t="shared" si="51"/>
        <v>0.23399999999999999</v>
      </c>
      <c r="N144" s="25" t="s">
        <v>7</v>
      </c>
      <c r="O144" s="13">
        <f t="shared" si="52"/>
        <v>0</v>
      </c>
      <c r="Z144" s="13">
        <f t="shared" si="53"/>
        <v>0</v>
      </c>
      <c r="AA144" s="13">
        <f t="shared" si="54"/>
        <v>0</v>
      </c>
      <c r="AB144" s="13">
        <f t="shared" si="55"/>
        <v>0</v>
      </c>
      <c r="AD144" s="13">
        <v>21</v>
      </c>
      <c r="AE144" s="13">
        <f>G144*0.0039115390401685</f>
        <v>0</v>
      </c>
      <c r="AF144" s="13">
        <f>G144*(1-0.0039115390401685)</f>
        <v>0</v>
      </c>
    </row>
    <row r="145" spans="1:32" ht="12.75">
      <c r="A145" s="5" t="s">
        <v>116</v>
      </c>
      <c r="B145" s="5" t="s">
        <v>157</v>
      </c>
      <c r="C145" s="5" t="s">
        <v>269</v>
      </c>
      <c r="D145" s="5" t="s">
        <v>442</v>
      </c>
      <c r="E145" s="5" t="s">
        <v>491</v>
      </c>
      <c r="F145" s="13">
        <v>0.03</v>
      </c>
      <c r="H145" s="13">
        <f t="shared" si="48"/>
        <v>0</v>
      </c>
      <c r="I145" s="13">
        <f t="shared" si="49"/>
        <v>0</v>
      </c>
      <c r="J145" s="13">
        <f t="shared" si="50"/>
        <v>0</v>
      </c>
      <c r="K145" s="13">
        <v>0</v>
      </c>
      <c r="L145" s="13">
        <f t="shared" si="51"/>
        <v>0</v>
      </c>
      <c r="N145" s="25" t="s">
        <v>7</v>
      </c>
      <c r="O145" s="13">
        <f t="shared" si="52"/>
        <v>0</v>
      </c>
      <c r="Z145" s="13">
        <f t="shared" si="53"/>
        <v>0</v>
      </c>
      <c r="AA145" s="13">
        <f t="shared" si="54"/>
        <v>0</v>
      </c>
      <c r="AB145" s="13">
        <f t="shared" si="55"/>
        <v>0</v>
      </c>
      <c r="AD145" s="13">
        <v>21</v>
      </c>
      <c r="AE145" s="13">
        <f>G145*0</f>
        <v>0</v>
      </c>
      <c r="AF145" s="13">
        <f>G145*(1-0)</f>
        <v>0</v>
      </c>
    </row>
    <row r="146" spans="1:37" ht="12.75">
      <c r="A146" s="4"/>
      <c r="B146" s="4"/>
      <c r="C146" s="11" t="s">
        <v>270</v>
      </c>
      <c r="D146" s="44" t="s">
        <v>443</v>
      </c>
      <c r="E146" s="45"/>
      <c r="F146" s="45"/>
      <c r="G146" s="45"/>
      <c r="H146" s="27">
        <f>SUM(H147:H148)</f>
        <v>0</v>
      </c>
      <c r="I146" s="27">
        <f>SUM(I147:I148)</f>
        <v>0</v>
      </c>
      <c r="J146" s="27">
        <f>H146+I146</f>
        <v>0</v>
      </c>
      <c r="K146" s="22"/>
      <c r="L146" s="27">
        <f>SUM(L147:L148)</f>
        <v>0.0072</v>
      </c>
      <c r="P146" s="27">
        <f>IF(Q146="PR",J146,SUM(O147:O148))</f>
        <v>0</v>
      </c>
      <c r="Q146" s="22" t="s">
        <v>526</v>
      </c>
      <c r="R146" s="27">
        <f>IF(Q146="HS",H146,0)</f>
        <v>0</v>
      </c>
      <c r="S146" s="27">
        <f>IF(Q146="HS",I146-P146,0)</f>
        <v>0</v>
      </c>
      <c r="T146" s="27">
        <f>IF(Q146="PS",H146,0)</f>
        <v>0</v>
      </c>
      <c r="U146" s="27">
        <f>IF(Q146="PS",I146-P146,0)</f>
        <v>0</v>
      </c>
      <c r="V146" s="27">
        <f>IF(Q146="MP",H146,0)</f>
        <v>0</v>
      </c>
      <c r="W146" s="27">
        <f>IF(Q146="MP",I146-P146,0)</f>
        <v>0</v>
      </c>
      <c r="X146" s="27">
        <f>IF(Q146="OM",H146,0)</f>
        <v>0</v>
      </c>
      <c r="Y146" s="22" t="s">
        <v>157</v>
      </c>
      <c r="AI146" s="27">
        <f>SUM(Z147:Z148)</f>
        <v>0</v>
      </c>
      <c r="AJ146" s="27">
        <f>SUM(AA147:AA148)</f>
        <v>0</v>
      </c>
      <c r="AK146" s="27">
        <f>SUM(AB147:AB148)</f>
        <v>0</v>
      </c>
    </row>
    <row r="147" spans="1:32" ht="12.75">
      <c r="A147" s="5" t="s">
        <v>117</v>
      </c>
      <c r="B147" s="5" t="s">
        <v>157</v>
      </c>
      <c r="C147" s="5" t="s">
        <v>271</v>
      </c>
      <c r="D147" s="5" t="s">
        <v>444</v>
      </c>
      <c r="E147" s="5" t="s">
        <v>494</v>
      </c>
      <c r="F147" s="13">
        <v>120</v>
      </c>
      <c r="H147" s="13">
        <f>ROUND(F147*AE147,2)</f>
        <v>0</v>
      </c>
      <c r="I147" s="13">
        <f>J147-H147</f>
        <v>0</v>
      </c>
      <c r="J147" s="13">
        <f>ROUND(F147*G147,2)</f>
        <v>0</v>
      </c>
      <c r="K147" s="13">
        <v>6E-05</v>
      </c>
      <c r="L147" s="13">
        <f>F147*K147</f>
        <v>0.0072</v>
      </c>
      <c r="N147" s="25" t="s">
        <v>7</v>
      </c>
      <c r="O147" s="13">
        <f>IF(N147="5",I147,0)</f>
        <v>0</v>
      </c>
      <c r="Z147" s="13">
        <f>IF(AD147=0,J147,0)</f>
        <v>0</v>
      </c>
      <c r="AA147" s="13">
        <f>IF(AD147=15,J147,0)</f>
        <v>0</v>
      </c>
      <c r="AB147" s="13">
        <f>IF(AD147=21,J147,0)</f>
        <v>0</v>
      </c>
      <c r="AD147" s="13">
        <v>21</v>
      </c>
      <c r="AE147" s="13">
        <f>G147*0.258536585365854</f>
        <v>0</v>
      </c>
      <c r="AF147" s="13">
        <f>G147*(1-0.258536585365854)</f>
        <v>0</v>
      </c>
    </row>
    <row r="148" spans="1:32" ht="12.75">
      <c r="A148" s="5" t="s">
        <v>118</v>
      </c>
      <c r="B148" s="5" t="s">
        <v>157</v>
      </c>
      <c r="C148" s="5" t="s">
        <v>272</v>
      </c>
      <c r="D148" s="5" t="s">
        <v>445</v>
      </c>
      <c r="E148" s="5" t="s">
        <v>491</v>
      </c>
      <c r="F148" s="13">
        <v>0.12</v>
      </c>
      <c r="H148" s="13">
        <f>ROUND(F148*AE148,2)</f>
        <v>0</v>
      </c>
      <c r="I148" s="13">
        <f>J148-H148</f>
        <v>0</v>
      </c>
      <c r="J148" s="13">
        <f>ROUND(F148*G148,2)</f>
        <v>0</v>
      </c>
      <c r="K148" s="13">
        <v>0</v>
      </c>
      <c r="L148" s="13">
        <f>F148*K148</f>
        <v>0</v>
      </c>
      <c r="N148" s="25" t="s">
        <v>11</v>
      </c>
      <c r="O148" s="13">
        <f>IF(N148="5",I148,0)</f>
        <v>0</v>
      </c>
      <c r="Z148" s="13">
        <f>IF(AD148=0,J148,0)</f>
        <v>0</v>
      </c>
      <c r="AA148" s="13">
        <f>IF(AD148=15,J148,0)</f>
        <v>0</v>
      </c>
      <c r="AB148" s="13">
        <f>IF(AD148=21,J148,0)</f>
        <v>0</v>
      </c>
      <c r="AD148" s="13">
        <v>21</v>
      </c>
      <c r="AE148" s="13">
        <f>G148*0</f>
        <v>0</v>
      </c>
      <c r="AF148" s="13">
        <f>G148*(1-0)</f>
        <v>0</v>
      </c>
    </row>
    <row r="149" spans="1:37" ht="12.75">
      <c r="A149" s="4"/>
      <c r="B149" s="4"/>
      <c r="C149" s="11" t="s">
        <v>273</v>
      </c>
      <c r="D149" s="44" t="s">
        <v>446</v>
      </c>
      <c r="E149" s="45"/>
      <c r="F149" s="45"/>
      <c r="G149" s="45"/>
      <c r="H149" s="27">
        <f>SUM(H150:H151)</f>
        <v>0</v>
      </c>
      <c r="I149" s="27">
        <f>SUM(I150:I151)</f>
        <v>0</v>
      </c>
      <c r="J149" s="27">
        <f>H149+I149</f>
        <v>0</v>
      </c>
      <c r="K149" s="22"/>
      <c r="L149" s="27">
        <f>SUM(L150:L151)</f>
        <v>0.018119999999999997</v>
      </c>
      <c r="P149" s="27">
        <f>IF(Q149="PR",J149,SUM(O150:O151))</f>
        <v>0</v>
      </c>
      <c r="Q149" s="22" t="s">
        <v>526</v>
      </c>
      <c r="R149" s="27">
        <f>IF(Q149="HS",H149,0)</f>
        <v>0</v>
      </c>
      <c r="S149" s="27">
        <f>IF(Q149="HS",I149-P149,0)</f>
        <v>0</v>
      </c>
      <c r="T149" s="27">
        <f>IF(Q149="PS",H149,0)</f>
        <v>0</v>
      </c>
      <c r="U149" s="27">
        <f>IF(Q149="PS",I149-P149,0)</f>
        <v>0</v>
      </c>
      <c r="V149" s="27">
        <f>IF(Q149="MP",H149,0)</f>
        <v>0</v>
      </c>
      <c r="W149" s="27">
        <f>IF(Q149="MP",I149-P149,0)</f>
        <v>0</v>
      </c>
      <c r="X149" s="27">
        <f>IF(Q149="OM",H149,0)</f>
        <v>0</v>
      </c>
      <c r="Y149" s="22" t="s">
        <v>157</v>
      </c>
      <c r="AI149" s="27">
        <f>SUM(Z150:Z151)</f>
        <v>0</v>
      </c>
      <c r="AJ149" s="27">
        <f>SUM(AA150:AA151)</f>
        <v>0</v>
      </c>
      <c r="AK149" s="27">
        <f>SUM(AB150:AB151)</f>
        <v>0</v>
      </c>
    </row>
    <row r="150" spans="1:32" ht="12.75">
      <c r="A150" s="5" t="s">
        <v>119</v>
      </c>
      <c r="B150" s="5" t="s">
        <v>157</v>
      </c>
      <c r="C150" s="5" t="s">
        <v>274</v>
      </c>
      <c r="D150" s="5" t="s">
        <v>447</v>
      </c>
      <c r="E150" s="5" t="s">
        <v>490</v>
      </c>
      <c r="F150" s="13">
        <v>4</v>
      </c>
      <c r="H150" s="13">
        <f>ROUND(F150*AE150,2)</f>
        <v>0</v>
      </c>
      <c r="I150" s="13">
        <f>J150-H150</f>
        <v>0</v>
      </c>
      <c r="J150" s="13">
        <f>ROUND(F150*G150,2)</f>
        <v>0</v>
      </c>
      <c r="K150" s="13">
        <v>0.0005</v>
      </c>
      <c r="L150" s="13">
        <f>F150*K150</f>
        <v>0.002</v>
      </c>
      <c r="N150" s="25" t="s">
        <v>7</v>
      </c>
      <c r="O150" s="13">
        <f>IF(N150="5",I150,0)</f>
        <v>0</v>
      </c>
      <c r="Z150" s="13">
        <f>IF(AD150=0,J150,0)</f>
        <v>0</v>
      </c>
      <c r="AA150" s="13">
        <f>IF(AD150=15,J150,0)</f>
        <v>0</v>
      </c>
      <c r="AB150" s="13">
        <f>IF(AD150=21,J150,0)</f>
        <v>0</v>
      </c>
      <c r="AD150" s="13">
        <v>21</v>
      </c>
      <c r="AE150" s="13">
        <f>G150*0.473321858864028</f>
        <v>0</v>
      </c>
      <c r="AF150" s="13">
        <f>G150*(1-0.473321858864028)</f>
        <v>0</v>
      </c>
    </row>
    <row r="151" spans="1:32" ht="12.75">
      <c r="A151" s="5" t="s">
        <v>120</v>
      </c>
      <c r="B151" s="5" t="s">
        <v>157</v>
      </c>
      <c r="C151" s="5" t="s">
        <v>275</v>
      </c>
      <c r="D151" s="5" t="s">
        <v>448</v>
      </c>
      <c r="E151" s="5" t="s">
        <v>497</v>
      </c>
      <c r="F151" s="13">
        <v>52</v>
      </c>
      <c r="H151" s="13">
        <f>ROUND(F151*AE151,2)</f>
        <v>0</v>
      </c>
      <c r="I151" s="13">
        <f>J151-H151</f>
        <v>0</v>
      </c>
      <c r="J151" s="13">
        <f>ROUND(F151*G151,2)</f>
        <v>0</v>
      </c>
      <c r="K151" s="13">
        <v>0.00031</v>
      </c>
      <c r="L151" s="13">
        <f>F151*K151</f>
        <v>0.01612</v>
      </c>
      <c r="N151" s="25" t="s">
        <v>7</v>
      </c>
      <c r="O151" s="13">
        <f>IF(N151="5",I151,0)</f>
        <v>0</v>
      </c>
      <c r="Z151" s="13">
        <f>IF(AD151=0,J151,0)</f>
        <v>0</v>
      </c>
      <c r="AA151" s="13">
        <f>IF(AD151=15,J151,0)</f>
        <v>0</v>
      </c>
      <c r="AB151" s="13">
        <f>IF(AD151=21,J151,0)</f>
        <v>0</v>
      </c>
      <c r="AD151" s="13">
        <v>21</v>
      </c>
      <c r="AE151" s="13">
        <f>G151*0.453009259259259</f>
        <v>0</v>
      </c>
      <c r="AF151" s="13">
        <f>G151*(1-0.453009259259259)</f>
        <v>0</v>
      </c>
    </row>
    <row r="152" spans="1:37" ht="12.75">
      <c r="A152" s="4"/>
      <c r="B152" s="4"/>
      <c r="C152" s="11" t="s">
        <v>276</v>
      </c>
      <c r="D152" s="44" t="s">
        <v>449</v>
      </c>
      <c r="E152" s="45"/>
      <c r="F152" s="45"/>
      <c r="G152" s="45"/>
      <c r="H152" s="27">
        <f>SUM(H153:H153)</f>
        <v>0</v>
      </c>
      <c r="I152" s="27">
        <f>SUM(I153:I153)</f>
        <v>0</v>
      </c>
      <c r="J152" s="27">
        <f>H152+I152</f>
        <v>0</v>
      </c>
      <c r="K152" s="22"/>
      <c r="L152" s="27">
        <f>SUM(L153:L153)</f>
        <v>0</v>
      </c>
      <c r="P152" s="27">
        <f>IF(Q152="PR",J152,SUM(O153:O153))</f>
        <v>0</v>
      </c>
      <c r="Q152" s="22" t="s">
        <v>527</v>
      </c>
      <c r="R152" s="27">
        <f>IF(Q152="HS",H152,0)</f>
        <v>0</v>
      </c>
      <c r="S152" s="27">
        <f>IF(Q152="HS",I152-P152,0)</f>
        <v>0</v>
      </c>
      <c r="T152" s="27">
        <f>IF(Q152="PS",H152,0)</f>
        <v>0</v>
      </c>
      <c r="U152" s="27">
        <f>IF(Q152="PS",I152-P152,0)</f>
        <v>0</v>
      </c>
      <c r="V152" s="27">
        <f>IF(Q152="MP",H152,0)</f>
        <v>0</v>
      </c>
      <c r="W152" s="27">
        <f>IF(Q152="MP",I152-P152,0)</f>
        <v>0</v>
      </c>
      <c r="X152" s="27">
        <f>IF(Q152="OM",H152,0)</f>
        <v>0</v>
      </c>
      <c r="Y152" s="22" t="s">
        <v>157</v>
      </c>
      <c r="AI152" s="27">
        <f>SUM(Z153:Z153)</f>
        <v>0</v>
      </c>
      <c r="AJ152" s="27">
        <f>SUM(AA153:AA153)</f>
        <v>0</v>
      </c>
      <c r="AK152" s="27">
        <f>SUM(AB153:AB153)</f>
        <v>0</v>
      </c>
    </row>
    <row r="153" spans="1:32" ht="12.75">
      <c r="A153" s="5" t="s">
        <v>121</v>
      </c>
      <c r="B153" s="5" t="s">
        <v>157</v>
      </c>
      <c r="C153" s="5" t="s">
        <v>277</v>
      </c>
      <c r="D153" s="5" t="s">
        <v>450</v>
      </c>
      <c r="E153" s="5" t="s">
        <v>497</v>
      </c>
      <c r="F153" s="13">
        <v>32</v>
      </c>
      <c r="H153" s="13">
        <f>ROUND(F153*AE153,2)</f>
        <v>0</v>
      </c>
      <c r="I153" s="13">
        <f>J153-H153</f>
        <v>0</v>
      </c>
      <c r="J153" s="13">
        <f>ROUND(F153*G153,2)</f>
        <v>0</v>
      </c>
      <c r="K153" s="13">
        <v>0</v>
      </c>
      <c r="L153" s="13">
        <f>F153*K153</f>
        <v>0</v>
      </c>
      <c r="N153" s="25" t="s">
        <v>8</v>
      </c>
      <c r="O153" s="13">
        <f>IF(N153="5",I153,0)</f>
        <v>0</v>
      </c>
      <c r="Z153" s="13">
        <f>IF(AD153=0,J153,0)</f>
        <v>0</v>
      </c>
      <c r="AA153" s="13">
        <f>IF(AD153=15,J153,0)</f>
        <v>0</v>
      </c>
      <c r="AB153" s="13">
        <f>IF(AD153=21,J153,0)</f>
        <v>0</v>
      </c>
      <c r="AD153" s="13">
        <v>21</v>
      </c>
      <c r="AE153" s="13">
        <f>G153*0</f>
        <v>0</v>
      </c>
      <c r="AF153" s="13">
        <f>G153*(1-0)</f>
        <v>0</v>
      </c>
    </row>
    <row r="154" spans="1:37" ht="12.75">
      <c r="A154" s="4"/>
      <c r="B154" s="4"/>
      <c r="C154" s="11" t="s">
        <v>278</v>
      </c>
      <c r="D154" s="44" t="s">
        <v>451</v>
      </c>
      <c r="E154" s="45"/>
      <c r="F154" s="45"/>
      <c r="G154" s="45"/>
      <c r="H154" s="27">
        <f>SUM(H155:H155)</f>
        <v>0</v>
      </c>
      <c r="I154" s="27">
        <f>SUM(I155:I155)</f>
        <v>0</v>
      </c>
      <c r="J154" s="27">
        <f>H154+I154</f>
        <v>0</v>
      </c>
      <c r="K154" s="22"/>
      <c r="L154" s="27">
        <f>SUM(L155:L155)</f>
        <v>0</v>
      </c>
      <c r="P154" s="27">
        <f>IF(Q154="PR",J154,SUM(O155:O155))</f>
        <v>0</v>
      </c>
      <c r="Q154" s="22" t="s">
        <v>527</v>
      </c>
      <c r="R154" s="27">
        <f>IF(Q154="HS",H154,0)</f>
        <v>0</v>
      </c>
      <c r="S154" s="27">
        <f>IF(Q154="HS",I154-P154,0)</f>
        <v>0</v>
      </c>
      <c r="T154" s="27">
        <f>IF(Q154="PS",H154,0)</f>
        <v>0</v>
      </c>
      <c r="U154" s="27">
        <f>IF(Q154="PS",I154-P154,0)</f>
        <v>0</v>
      </c>
      <c r="V154" s="27">
        <f>IF(Q154="MP",H154,0)</f>
        <v>0</v>
      </c>
      <c r="W154" s="27">
        <f>IF(Q154="MP",I154-P154,0)</f>
        <v>0</v>
      </c>
      <c r="X154" s="27">
        <f>IF(Q154="OM",H154,0)</f>
        <v>0</v>
      </c>
      <c r="Y154" s="22" t="s">
        <v>157</v>
      </c>
      <c r="AI154" s="27">
        <f>SUM(Z155:Z155)</f>
        <v>0</v>
      </c>
      <c r="AJ154" s="27">
        <f>SUM(AA155:AA155)</f>
        <v>0</v>
      </c>
      <c r="AK154" s="27">
        <f>SUM(AB155:AB155)</f>
        <v>0</v>
      </c>
    </row>
    <row r="155" spans="1:32" ht="12.75">
      <c r="A155" s="5" t="s">
        <v>122</v>
      </c>
      <c r="B155" s="5" t="s">
        <v>157</v>
      </c>
      <c r="C155" s="5" t="s">
        <v>279</v>
      </c>
      <c r="D155" s="5" t="s">
        <v>452</v>
      </c>
      <c r="E155" s="5" t="s">
        <v>493</v>
      </c>
      <c r="F155" s="13">
        <v>20</v>
      </c>
      <c r="H155" s="13">
        <f>ROUND(F155*AE155,2)</f>
        <v>0</v>
      </c>
      <c r="I155" s="13">
        <f>J155-H155</f>
        <v>0</v>
      </c>
      <c r="J155" s="13">
        <f>ROUND(F155*G155,2)</f>
        <v>0</v>
      </c>
      <c r="K155" s="13">
        <v>0</v>
      </c>
      <c r="L155" s="13">
        <f>F155*K155</f>
        <v>0</v>
      </c>
      <c r="N155" s="25" t="s">
        <v>8</v>
      </c>
      <c r="O155" s="13">
        <f>IF(N155="5",I155,0)</f>
        <v>0</v>
      </c>
      <c r="Z155" s="13">
        <f>IF(AD155=0,J155,0)</f>
        <v>0</v>
      </c>
      <c r="AA155" s="13">
        <f>IF(AD155=15,J155,0)</f>
        <v>0</v>
      </c>
      <c r="AB155" s="13">
        <f>IF(AD155=21,J155,0)</f>
        <v>0</v>
      </c>
      <c r="AD155" s="13">
        <v>21</v>
      </c>
      <c r="AE155" s="13">
        <f>G155*0</f>
        <v>0</v>
      </c>
      <c r="AF155" s="13">
        <f>G155*(1-0)</f>
        <v>0</v>
      </c>
    </row>
    <row r="156" spans="1:37" ht="12.75">
      <c r="A156" s="4"/>
      <c r="B156" s="4"/>
      <c r="C156" s="11"/>
      <c r="D156" s="44" t="s">
        <v>453</v>
      </c>
      <c r="E156" s="45"/>
      <c r="F156" s="45"/>
      <c r="G156" s="45"/>
      <c r="H156" s="27">
        <f>SUM(H157:H164)</f>
        <v>0</v>
      </c>
      <c r="I156" s="27">
        <f>SUM(I157:I164)</f>
        <v>0</v>
      </c>
      <c r="J156" s="27">
        <f>H156+I156</f>
        <v>0</v>
      </c>
      <c r="K156" s="22"/>
      <c r="L156" s="27">
        <f>SUM(L157:L164)</f>
        <v>0.0074</v>
      </c>
      <c r="P156" s="27">
        <f>IF(Q156="PR",J156,SUM(O157:O164))</f>
        <v>0</v>
      </c>
      <c r="Q156" s="22" t="s">
        <v>529</v>
      </c>
      <c r="R156" s="27">
        <f>IF(Q156="HS",H156,0)</f>
        <v>0</v>
      </c>
      <c r="S156" s="27">
        <f>IF(Q156="HS",I156-P156,0)</f>
        <v>0</v>
      </c>
      <c r="T156" s="27">
        <f>IF(Q156="PS",H156,0)</f>
        <v>0</v>
      </c>
      <c r="U156" s="27">
        <f>IF(Q156="PS",I156-P156,0)</f>
        <v>0</v>
      </c>
      <c r="V156" s="27">
        <f>IF(Q156="MP",H156,0)</f>
        <v>0</v>
      </c>
      <c r="W156" s="27">
        <f>IF(Q156="MP",I156-P156,0)</f>
        <v>0</v>
      </c>
      <c r="X156" s="27">
        <f>IF(Q156="OM",H156,0)</f>
        <v>0</v>
      </c>
      <c r="Y156" s="22" t="s">
        <v>157</v>
      </c>
      <c r="AI156" s="27">
        <f>SUM(Z157:Z164)</f>
        <v>0</v>
      </c>
      <c r="AJ156" s="27">
        <f>SUM(AA157:AA164)</f>
        <v>0</v>
      </c>
      <c r="AK156" s="27">
        <f>SUM(AB157:AB164)</f>
        <v>0</v>
      </c>
    </row>
    <row r="157" spans="1:32" ht="12.75">
      <c r="A157" s="5" t="s">
        <v>123</v>
      </c>
      <c r="B157" s="5" t="s">
        <v>157</v>
      </c>
      <c r="C157" s="5" t="s">
        <v>280</v>
      </c>
      <c r="D157" s="5" t="s">
        <v>454</v>
      </c>
      <c r="E157" s="5" t="s">
        <v>493</v>
      </c>
      <c r="F157" s="13">
        <v>27</v>
      </c>
      <c r="H157" s="13">
        <f aca="true" t="shared" si="56" ref="H157:H164">ROUND(F157*AE157,2)</f>
        <v>0</v>
      </c>
      <c r="I157" s="13">
        <f aca="true" t="shared" si="57" ref="I157:I164">J157-H157</f>
        <v>0</v>
      </c>
      <c r="J157" s="13">
        <f aca="true" t="shared" si="58" ref="J157:J164">ROUND(F157*G157,2)</f>
        <v>0</v>
      </c>
      <c r="K157" s="13">
        <v>9E-05</v>
      </c>
      <c r="L157" s="13">
        <f aca="true" t="shared" si="59" ref="L157:L164">F157*K157</f>
        <v>0.0024300000000000003</v>
      </c>
      <c r="N157" s="25" t="s">
        <v>522</v>
      </c>
      <c r="O157" s="13">
        <f aca="true" t="shared" si="60" ref="O157:O164">IF(N157="5",I157,0)</f>
        <v>0</v>
      </c>
      <c r="Z157" s="13">
        <f aca="true" t="shared" si="61" ref="Z157:Z164">IF(AD157=0,J157,0)</f>
        <v>0</v>
      </c>
      <c r="AA157" s="13">
        <f aca="true" t="shared" si="62" ref="AA157:AA164">IF(AD157=15,J157,0)</f>
        <v>0</v>
      </c>
      <c r="AB157" s="13">
        <f aca="true" t="shared" si="63" ref="AB157:AB164">IF(AD157=21,J157,0)</f>
        <v>0</v>
      </c>
      <c r="AD157" s="13">
        <v>21</v>
      </c>
      <c r="AE157" s="13">
        <f aca="true" t="shared" si="64" ref="AE157:AE164">G157*1</f>
        <v>0</v>
      </c>
      <c r="AF157" s="13">
        <f aca="true" t="shared" si="65" ref="AF157:AF164">G157*(1-1)</f>
        <v>0</v>
      </c>
    </row>
    <row r="158" spans="1:32" ht="12.75">
      <c r="A158" s="5" t="s">
        <v>124</v>
      </c>
      <c r="B158" s="5" t="s">
        <v>157</v>
      </c>
      <c r="C158" s="5" t="s">
        <v>280</v>
      </c>
      <c r="D158" s="5" t="s">
        <v>454</v>
      </c>
      <c r="E158" s="5" t="s">
        <v>493</v>
      </c>
      <c r="F158" s="13">
        <v>6</v>
      </c>
      <c r="H158" s="13">
        <f t="shared" si="56"/>
        <v>0</v>
      </c>
      <c r="I158" s="13">
        <f t="shared" si="57"/>
        <v>0</v>
      </c>
      <c r="J158" s="13">
        <f t="shared" si="58"/>
        <v>0</v>
      </c>
      <c r="K158" s="13">
        <v>9E-05</v>
      </c>
      <c r="L158" s="13">
        <f t="shared" si="59"/>
        <v>0.00054</v>
      </c>
      <c r="N158" s="25" t="s">
        <v>522</v>
      </c>
      <c r="O158" s="13">
        <f t="shared" si="60"/>
        <v>0</v>
      </c>
      <c r="Z158" s="13">
        <f t="shared" si="61"/>
        <v>0</v>
      </c>
      <c r="AA158" s="13">
        <f t="shared" si="62"/>
        <v>0</v>
      </c>
      <c r="AB158" s="13">
        <f t="shared" si="63"/>
        <v>0</v>
      </c>
      <c r="AD158" s="13">
        <v>21</v>
      </c>
      <c r="AE158" s="13">
        <f t="shared" si="64"/>
        <v>0</v>
      </c>
      <c r="AF158" s="13">
        <f t="shared" si="65"/>
        <v>0</v>
      </c>
    </row>
    <row r="159" spans="1:32" ht="12.75">
      <c r="A159" s="5" t="s">
        <v>125</v>
      </c>
      <c r="B159" s="5" t="s">
        <v>157</v>
      </c>
      <c r="C159" s="5" t="s">
        <v>280</v>
      </c>
      <c r="D159" s="5" t="s">
        <v>454</v>
      </c>
      <c r="E159" s="5" t="s">
        <v>493</v>
      </c>
      <c r="F159" s="13">
        <v>17</v>
      </c>
      <c r="H159" s="13">
        <f t="shared" si="56"/>
        <v>0</v>
      </c>
      <c r="I159" s="13">
        <f t="shared" si="57"/>
        <v>0</v>
      </c>
      <c r="J159" s="13">
        <f t="shared" si="58"/>
        <v>0</v>
      </c>
      <c r="K159" s="13">
        <v>9E-05</v>
      </c>
      <c r="L159" s="13">
        <f t="shared" si="59"/>
        <v>0.0015300000000000001</v>
      </c>
      <c r="N159" s="25" t="s">
        <v>522</v>
      </c>
      <c r="O159" s="13">
        <f t="shared" si="60"/>
        <v>0</v>
      </c>
      <c r="Z159" s="13">
        <f t="shared" si="61"/>
        <v>0</v>
      </c>
      <c r="AA159" s="13">
        <f t="shared" si="62"/>
        <v>0</v>
      </c>
      <c r="AB159" s="13">
        <f t="shared" si="63"/>
        <v>0</v>
      </c>
      <c r="AD159" s="13">
        <v>21</v>
      </c>
      <c r="AE159" s="13">
        <f t="shared" si="64"/>
        <v>0</v>
      </c>
      <c r="AF159" s="13">
        <f t="shared" si="65"/>
        <v>0</v>
      </c>
    </row>
    <row r="160" spans="1:32" ht="12.75">
      <c r="A160" s="5" t="s">
        <v>126</v>
      </c>
      <c r="B160" s="5" t="s">
        <v>157</v>
      </c>
      <c r="C160" s="5" t="s">
        <v>281</v>
      </c>
      <c r="D160" s="5" t="s">
        <v>455</v>
      </c>
      <c r="E160" s="5" t="s">
        <v>493</v>
      </c>
      <c r="F160" s="13">
        <v>20</v>
      </c>
      <c r="H160" s="13">
        <f t="shared" si="56"/>
        <v>0</v>
      </c>
      <c r="I160" s="13">
        <f t="shared" si="57"/>
        <v>0</v>
      </c>
      <c r="J160" s="13">
        <f t="shared" si="58"/>
        <v>0</v>
      </c>
      <c r="K160" s="13">
        <v>2E-05</v>
      </c>
      <c r="L160" s="13">
        <f t="shared" si="59"/>
        <v>0.0004</v>
      </c>
      <c r="N160" s="25" t="s">
        <v>522</v>
      </c>
      <c r="O160" s="13">
        <f t="shared" si="60"/>
        <v>0</v>
      </c>
      <c r="Z160" s="13">
        <f t="shared" si="61"/>
        <v>0</v>
      </c>
      <c r="AA160" s="13">
        <f t="shared" si="62"/>
        <v>0</v>
      </c>
      <c r="AB160" s="13">
        <f t="shared" si="63"/>
        <v>0</v>
      </c>
      <c r="AD160" s="13">
        <v>21</v>
      </c>
      <c r="AE160" s="13">
        <f t="shared" si="64"/>
        <v>0</v>
      </c>
      <c r="AF160" s="13">
        <f t="shared" si="65"/>
        <v>0</v>
      </c>
    </row>
    <row r="161" spans="1:32" ht="12.75">
      <c r="A161" s="5" t="s">
        <v>127</v>
      </c>
      <c r="B161" s="5" t="s">
        <v>157</v>
      </c>
      <c r="C161" s="5" t="s">
        <v>282</v>
      </c>
      <c r="D161" s="5" t="s">
        <v>456</v>
      </c>
      <c r="E161" s="5" t="s">
        <v>497</v>
      </c>
      <c r="F161" s="13">
        <v>8</v>
      </c>
      <c r="H161" s="13">
        <f t="shared" si="56"/>
        <v>0</v>
      </c>
      <c r="I161" s="13">
        <f t="shared" si="57"/>
        <v>0</v>
      </c>
      <c r="J161" s="13">
        <f t="shared" si="58"/>
        <v>0</v>
      </c>
      <c r="K161" s="13">
        <v>0</v>
      </c>
      <c r="L161" s="13">
        <f t="shared" si="59"/>
        <v>0</v>
      </c>
      <c r="N161" s="25" t="s">
        <v>522</v>
      </c>
      <c r="O161" s="13">
        <f t="shared" si="60"/>
        <v>0</v>
      </c>
      <c r="Z161" s="13">
        <f t="shared" si="61"/>
        <v>0</v>
      </c>
      <c r="AA161" s="13">
        <f t="shared" si="62"/>
        <v>0</v>
      </c>
      <c r="AB161" s="13">
        <f t="shared" si="63"/>
        <v>0</v>
      </c>
      <c r="AD161" s="13">
        <v>21</v>
      </c>
      <c r="AE161" s="13">
        <f t="shared" si="64"/>
        <v>0</v>
      </c>
      <c r="AF161" s="13">
        <f t="shared" si="65"/>
        <v>0</v>
      </c>
    </row>
    <row r="162" spans="1:32" ht="12.75">
      <c r="A162" s="5" t="s">
        <v>128</v>
      </c>
      <c r="B162" s="5" t="s">
        <v>157</v>
      </c>
      <c r="C162" s="5" t="s">
        <v>283</v>
      </c>
      <c r="D162" s="5" t="s">
        <v>457</v>
      </c>
      <c r="E162" s="5" t="s">
        <v>501</v>
      </c>
      <c r="F162" s="13">
        <v>1</v>
      </c>
      <c r="H162" s="13">
        <f t="shared" si="56"/>
        <v>0</v>
      </c>
      <c r="I162" s="13">
        <f t="shared" si="57"/>
        <v>0</v>
      </c>
      <c r="J162" s="13">
        <f t="shared" si="58"/>
        <v>0</v>
      </c>
      <c r="K162" s="13">
        <v>0</v>
      </c>
      <c r="L162" s="13">
        <f t="shared" si="59"/>
        <v>0</v>
      </c>
      <c r="N162" s="25" t="s">
        <v>522</v>
      </c>
      <c r="O162" s="13">
        <f t="shared" si="60"/>
        <v>0</v>
      </c>
      <c r="Z162" s="13">
        <f t="shared" si="61"/>
        <v>0</v>
      </c>
      <c r="AA162" s="13">
        <f t="shared" si="62"/>
        <v>0</v>
      </c>
      <c r="AB162" s="13">
        <f t="shared" si="63"/>
        <v>0</v>
      </c>
      <c r="AD162" s="13">
        <v>21</v>
      </c>
      <c r="AE162" s="13">
        <f t="shared" si="64"/>
        <v>0</v>
      </c>
      <c r="AF162" s="13">
        <f t="shared" si="65"/>
        <v>0</v>
      </c>
    </row>
    <row r="163" spans="1:32" ht="12.75">
      <c r="A163" s="5" t="s">
        <v>129</v>
      </c>
      <c r="B163" s="5" t="s">
        <v>157</v>
      </c>
      <c r="C163" s="5" t="s">
        <v>284</v>
      </c>
      <c r="D163" s="5" t="s">
        <v>458</v>
      </c>
      <c r="E163" s="5" t="s">
        <v>497</v>
      </c>
      <c r="F163" s="13">
        <v>1</v>
      </c>
      <c r="H163" s="13">
        <f t="shared" si="56"/>
        <v>0</v>
      </c>
      <c r="I163" s="13">
        <f t="shared" si="57"/>
        <v>0</v>
      </c>
      <c r="J163" s="13">
        <f t="shared" si="58"/>
        <v>0</v>
      </c>
      <c r="K163" s="13">
        <v>0.0025</v>
      </c>
      <c r="L163" s="13">
        <f t="shared" si="59"/>
        <v>0.0025</v>
      </c>
      <c r="N163" s="25" t="s">
        <v>522</v>
      </c>
      <c r="O163" s="13">
        <f t="shared" si="60"/>
        <v>0</v>
      </c>
      <c r="Z163" s="13">
        <f t="shared" si="61"/>
        <v>0</v>
      </c>
      <c r="AA163" s="13">
        <f t="shared" si="62"/>
        <v>0</v>
      </c>
      <c r="AB163" s="13">
        <f t="shared" si="63"/>
        <v>0</v>
      </c>
      <c r="AD163" s="13">
        <v>21</v>
      </c>
      <c r="AE163" s="13">
        <f t="shared" si="64"/>
        <v>0</v>
      </c>
      <c r="AF163" s="13">
        <f t="shared" si="65"/>
        <v>0</v>
      </c>
    </row>
    <row r="164" spans="1:32" ht="12.75">
      <c r="A164" s="5" t="s">
        <v>130</v>
      </c>
      <c r="B164" s="5" t="s">
        <v>157</v>
      </c>
      <c r="C164" s="5" t="s">
        <v>285</v>
      </c>
      <c r="D164" s="5" t="s">
        <v>459</v>
      </c>
      <c r="E164" s="5" t="s">
        <v>497</v>
      </c>
      <c r="F164" s="13">
        <v>1</v>
      </c>
      <c r="H164" s="13">
        <f t="shared" si="56"/>
        <v>0</v>
      </c>
      <c r="I164" s="13">
        <f t="shared" si="57"/>
        <v>0</v>
      </c>
      <c r="J164" s="13">
        <f t="shared" si="58"/>
        <v>0</v>
      </c>
      <c r="K164" s="13">
        <v>0</v>
      </c>
      <c r="L164" s="13">
        <f t="shared" si="59"/>
        <v>0</v>
      </c>
      <c r="N164" s="25" t="s">
        <v>522</v>
      </c>
      <c r="O164" s="13">
        <f t="shared" si="60"/>
        <v>0</v>
      </c>
      <c r="Z164" s="13">
        <f t="shared" si="61"/>
        <v>0</v>
      </c>
      <c r="AA164" s="13">
        <f t="shared" si="62"/>
        <v>0</v>
      </c>
      <c r="AB164" s="13">
        <f t="shared" si="63"/>
        <v>0</v>
      </c>
      <c r="AD164" s="13">
        <v>21</v>
      </c>
      <c r="AE164" s="13">
        <f t="shared" si="64"/>
        <v>0</v>
      </c>
      <c r="AF164" s="13">
        <f t="shared" si="65"/>
        <v>0</v>
      </c>
    </row>
    <row r="165" spans="1:12" ht="12.75">
      <c r="A165" s="4"/>
      <c r="B165" s="4"/>
      <c r="C165" s="11"/>
      <c r="D165" s="44" t="s">
        <v>460</v>
      </c>
      <c r="E165" s="45"/>
      <c r="F165" s="45"/>
      <c r="G165" s="45"/>
      <c r="H165" s="27">
        <f>H166+H188</f>
        <v>0</v>
      </c>
      <c r="I165" s="27">
        <f>I166+I188</f>
        <v>0</v>
      </c>
      <c r="J165" s="27">
        <f>H165+I165</f>
        <v>0</v>
      </c>
      <c r="K165" s="22"/>
      <c r="L165" s="27">
        <f>L166+L188</f>
        <v>0.5451950000000001</v>
      </c>
    </row>
    <row r="166" spans="1:37" ht="12.75">
      <c r="A166" s="4"/>
      <c r="B166" s="4"/>
      <c r="C166" s="11" t="s">
        <v>286</v>
      </c>
      <c r="D166" s="44" t="s">
        <v>460</v>
      </c>
      <c r="E166" s="45"/>
      <c r="F166" s="45"/>
      <c r="G166" s="45"/>
      <c r="H166" s="27">
        <f>SUM(H167:H187)</f>
        <v>0</v>
      </c>
      <c r="I166" s="27">
        <f>SUM(I167:I187)</f>
        <v>0</v>
      </c>
      <c r="J166" s="27">
        <f>H166+I166</f>
        <v>0</v>
      </c>
      <c r="K166" s="22"/>
      <c r="L166" s="27">
        <f>SUM(L167:L187)</f>
        <v>0.5451950000000001</v>
      </c>
      <c r="P166" s="27">
        <f>IF(Q166="PR",J166,SUM(O167:O187))</f>
        <v>0</v>
      </c>
      <c r="Q166" s="22" t="s">
        <v>526</v>
      </c>
      <c r="R166" s="27">
        <f>IF(Q166="HS",H166,0)</f>
        <v>0</v>
      </c>
      <c r="S166" s="27">
        <f>IF(Q166="HS",I166-P166,0)</f>
        <v>0</v>
      </c>
      <c r="T166" s="27">
        <f>IF(Q166="PS",H166,0)</f>
        <v>0</v>
      </c>
      <c r="U166" s="27">
        <f>IF(Q166="PS",I166-P166,0)</f>
        <v>0</v>
      </c>
      <c r="V166" s="27">
        <f>IF(Q166="MP",H166,0)</f>
        <v>0</v>
      </c>
      <c r="W166" s="27">
        <f>IF(Q166="MP",I166-P166,0)</f>
        <v>0</v>
      </c>
      <c r="X166" s="27">
        <f>IF(Q166="OM",H166,0)</f>
        <v>0</v>
      </c>
      <c r="Y166" s="22" t="s">
        <v>158</v>
      </c>
      <c r="AI166" s="27">
        <f>SUM(Z167:Z187)</f>
        <v>0</v>
      </c>
      <c r="AJ166" s="27">
        <f>SUM(AA167:AA187)</f>
        <v>0</v>
      </c>
      <c r="AK166" s="27">
        <f>SUM(AB167:AB187)</f>
        <v>0</v>
      </c>
    </row>
    <row r="167" spans="1:32" ht="12.75">
      <c r="A167" s="5" t="s">
        <v>131</v>
      </c>
      <c r="B167" s="5" t="s">
        <v>158</v>
      </c>
      <c r="C167" s="104" t="s">
        <v>287</v>
      </c>
      <c r="D167" s="5" t="s">
        <v>461</v>
      </c>
      <c r="E167" s="5" t="s">
        <v>493</v>
      </c>
      <c r="F167" s="13">
        <v>21</v>
      </c>
      <c r="H167" s="13">
        <f aca="true" t="shared" si="66" ref="H167:H187">ROUND(F167*AE167,2)</f>
        <v>0</v>
      </c>
      <c r="I167" s="13">
        <f aca="true" t="shared" si="67" ref="I167:I187">J167-H167</f>
        <v>0</v>
      </c>
      <c r="J167" s="13">
        <f aca="true" t="shared" si="68" ref="J167:J187">ROUND(F167*G167,2)</f>
        <v>0</v>
      </c>
      <c r="K167" s="13">
        <v>0.01446</v>
      </c>
      <c r="L167" s="13">
        <f aca="true" t="shared" si="69" ref="L167:L187">F167*K167</f>
        <v>0.30366000000000004</v>
      </c>
      <c r="N167" s="25" t="s">
        <v>7</v>
      </c>
      <c r="O167" s="13">
        <f aca="true" t="shared" si="70" ref="O167:O187">IF(N167="5",I167,0)</f>
        <v>0</v>
      </c>
      <c r="Z167" s="13">
        <f aca="true" t="shared" si="71" ref="Z167:Z187">IF(AD167=0,J167,0)</f>
        <v>0</v>
      </c>
      <c r="AA167" s="13">
        <f aca="true" t="shared" si="72" ref="AA167:AA187">IF(AD167=15,J167,0)</f>
        <v>0</v>
      </c>
      <c r="AB167" s="13">
        <f aca="true" t="shared" si="73" ref="AB167:AB187">IF(AD167=21,J167,0)</f>
        <v>0</v>
      </c>
      <c r="AD167" s="13">
        <v>21</v>
      </c>
      <c r="AE167" s="13">
        <f>G167*0.339685512075565</f>
        <v>0</v>
      </c>
      <c r="AF167" s="13">
        <f>G167*(1-0.339685512075565)</f>
        <v>0</v>
      </c>
    </row>
    <row r="168" spans="1:32" ht="12.75">
      <c r="A168" s="5" t="s">
        <v>132</v>
      </c>
      <c r="B168" s="5" t="s">
        <v>158</v>
      </c>
      <c r="C168" s="104" t="s">
        <v>288</v>
      </c>
      <c r="D168" s="5" t="s">
        <v>462</v>
      </c>
      <c r="E168" s="5" t="s">
        <v>493</v>
      </c>
      <c r="F168" s="13">
        <v>1</v>
      </c>
      <c r="H168" s="13">
        <f t="shared" si="66"/>
        <v>0</v>
      </c>
      <c r="I168" s="13">
        <f t="shared" si="67"/>
        <v>0</v>
      </c>
      <c r="J168" s="13">
        <f t="shared" si="68"/>
        <v>0</v>
      </c>
      <c r="K168" s="13">
        <v>0.01239</v>
      </c>
      <c r="L168" s="13">
        <f t="shared" si="69"/>
        <v>0.01239</v>
      </c>
      <c r="N168" s="25" t="s">
        <v>7</v>
      </c>
      <c r="O168" s="13">
        <f t="shared" si="70"/>
        <v>0</v>
      </c>
      <c r="Z168" s="13">
        <f t="shared" si="71"/>
        <v>0</v>
      </c>
      <c r="AA168" s="13">
        <f t="shared" si="72"/>
        <v>0</v>
      </c>
      <c r="AB168" s="13">
        <f t="shared" si="73"/>
        <v>0</v>
      </c>
      <c r="AD168" s="13">
        <v>21</v>
      </c>
      <c r="AE168" s="13">
        <f>G168*0.415068206763184</f>
        <v>0</v>
      </c>
      <c r="AF168" s="13">
        <f>G168*(1-0.415068206763184)</f>
        <v>0</v>
      </c>
    </row>
    <row r="169" spans="1:32" ht="12.75">
      <c r="A169" s="5" t="s">
        <v>133</v>
      </c>
      <c r="B169" s="5" t="s">
        <v>158</v>
      </c>
      <c r="C169" s="104" t="s">
        <v>289</v>
      </c>
      <c r="D169" s="5" t="s">
        <v>463</v>
      </c>
      <c r="E169" s="5" t="s">
        <v>493</v>
      </c>
      <c r="F169" s="13">
        <v>8.5</v>
      </c>
      <c r="H169" s="13">
        <f t="shared" si="66"/>
        <v>0</v>
      </c>
      <c r="I169" s="13">
        <f t="shared" si="67"/>
        <v>0</v>
      </c>
      <c r="J169" s="13">
        <f t="shared" si="68"/>
        <v>0</v>
      </c>
      <c r="K169" s="13">
        <v>0.01474</v>
      </c>
      <c r="L169" s="13">
        <f t="shared" si="69"/>
        <v>0.12528999999999998</v>
      </c>
      <c r="N169" s="25" t="s">
        <v>7</v>
      </c>
      <c r="O169" s="13">
        <f t="shared" si="70"/>
        <v>0</v>
      </c>
      <c r="Z169" s="13">
        <f t="shared" si="71"/>
        <v>0</v>
      </c>
      <c r="AA169" s="13">
        <f t="shared" si="72"/>
        <v>0</v>
      </c>
      <c r="AB169" s="13">
        <f t="shared" si="73"/>
        <v>0</v>
      </c>
      <c r="AD169" s="13">
        <v>21</v>
      </c>
      <c r="AE169" s="13">
        <f>G169*0.438734622144112</f>
        <v>0</v>
      </c>
      <c r="AF169" s="13">
        <f>G169*(1-0.438734622144112)</f>
        <v>0</v>
      </c>
    </row>
    <row r="170" spans="1:32" ht="12.75">
      <c r="A170" s="5" t="s">
        <v>134</v>
      </c>
      <c r="B170" s="5" t="s">
        <v>158</v>
      </c>
      <c r="C170" s="104" t="s">
        <v>290</v>
      </c>
      <c r="D170" s="5" t="s">
        <v>464</v>
      </c>
      <c r="E170" s="5" t="s">
        <v>493</v>
      </c>
      <c r="F170" s="13">
        <v>0.5</v>
      </c>
      <c r="H170" s="13">
        <f t="shared" si="66"/>
        <v>0</v>
      </c>
      <c r="I170" s="13">
        <f t="shared" si="67"/>
        <v>0</v>
      </c>
      <c r="J170" s="13">
        <f t="shared" si="68"/>
        <v>0</v>
      </c>
      <c r="K170" s="13">
        <v>0.02149</v>
      </c>
      <c r="L170" s="13">
        <f t="shared" si="69"/>
        <v>0.010745</v>
      </c>
      <c r="N170" s="25" t="s">
        <v>7</v>
      </c>
      <c r="O170" s="13">
        <f t="shared" si="70"/>
        <v>0</v>
      </c>
      <c r="Z170" s="13">
        <f t="shared" si="71"/>
        <v>0</v>
      </c>
      <c r="AA170" s="13">
        <f t="shared" si="72"/>
        <v>0</v>
      </c>
      <c r="AB170" s="13">
        <f t="shared" si="73"/>
        <v>0</v>
      </c>
      <c r="AD170" s="13">
        <v>21</v>
      </c>
      <c r="AE170" s="13">
        <f>G170*0.461242278073961</f>
        <v>0</v>
      </c>
      <c r="AF170" s="13">
        <f>G170*(1-0.461242278073961)</f>
        <v>0</v>
      </c>
    </row>
    <row r="171" spans="1:32" ht="12.75">
      <c r="A171" s="5" t="s">
        <v>135</v>
      </c>
      <c r="B171" s="5" t="s">
        <v>158</v>
      </c>
      <c r="C171" s="104" t="s">
        <v>291</v>
      </c>
      <c r="D171" s="5" t="s">
        <v>465</v>
      </c>
      <c r="E171" s="5" t="s">
        <v>497</v>
      </c>
      <c r="F171" s="13">
        <v>2</v>
      </c>
      <c r="H171" s="13">
        <f t="shared" si="66"/>
        <v>0</v>
      </c>
      <c r="I171" s="13">
        <f t="shared" si="67"/>
        <v>0</v>
      </c>
      <c r="J171" s="13">
        <f t="shared" si="68"/>
        <v>0</v>
      </c>
      <c r="K171" s="13">
        <v>3E-05</v>
      </c>
      <c r="L171" s="13">
        <f t="shared" si="69"/>
        <v>6E-05</v>
      </c>
      <c r="N171" s="25" t="s">
        <v>7</v>
      </c>
      <c r="O171" s="13">
        <f t="shared" si="70"/>
        <v>0</v>
      </c>
      <c r="Z171" s="13">
        <f t="shared" si="71"/>
        <v>0</v>
      </c>
      <c r="AA171" s="13">
        <f t="shared" si="72"/>
        <v>0</v>
      </c>
      <c r="AB171" s="13">
        <f t="shared" si="73"/>
        <v>0</v>
      </c>
      <c r="AD171" s="13">
        <v>21</v>
      </c>
      <c r="AE171" s="13">
        <f>G171*0.0359273993038289</f>
        <v>0</v>
      </c>
      <c r="AF171" s="13">
        <f>G171*(1-0.0359273993038289)</f>
        <v>0</v>
      </c>
    </row>
    <row r="172" spans="1:32" ht="12.75">
      <c r="A172" s="5" t="s">
        <v>136</v>
      </c>
      <c r="B172" s="5" t="s">
        <v>158</v>
      </c>
      <c r="C172" s="104" t="s">
        <v>292</v>
      </c>
      <c r="D172" s="5" t="s">
        <v>466</v>
      </c>
      <c r="E172" s="5" t="s">
        <v>497</v>
      </c>
      <c r="F172" s="13">
        <v>1</v>
      </c>
      <c r="H172" s="13">
        <f t="shared" si="66"/>
        <v>0</v>
      </c>
      <c r="I172" s="13">
        <f t="shared" si="67"/>
        <v>0</v>
      </c>
      <c r="J172" s="13">
        <f t="shared" si="68"/>
        <v>0</v>
      </c>
      <c r="K172" s="13">
        <v>3E-05</v>
      </c>
      <c r="L172" s="13">
        <f t="shared" si="69"/>
        <v>3E-05</v>
      </c>
      <c r="N172" s="25" t="s">
        <v>7</v>
      </c>
      <c r="O172" s="13">
        <f t="shared" si="70"/>
        <v>0</v>
      </c>
      <c r="Z172" s="13">
        <f t="shared" si="71"/>
        <v>0</v>
      </c>
      <c r="AA172" s="13">
        <f t="shared" si="72"/>
        <v>0</v>
      </c>
      <c r="AB172" s="13">
        <f t="shared" si="73"/>
        <v>0</v>
      </c>
      <c r="AD172" s="13">
        <v>21</v>
      </c>
      <c r="AE172" s="13">
        <f>G172*0.0327034061333032</f>
        <v>0</v>
      </c>
      <c r="AF172" s="13">
        <f>G172*(1-0.0327034061333032)</f>
        <v>0</v>
      </c>
    </row>
    <row r="173" spans="1:32" ht="12.75">
      <c r="A173" s="5" t="s">
        <v>137</v>
      </c>
      <c r="B173" s="5" t="s">
        <v>158</v>
      </c>
      <c r="C173" s="104" t="s">
        <v>293</v>
      </c>
      <c r="D173" s="5" t="s">
        <v>467</v>
      </c>
      <c r="E173" s="5" t="s">
        <v>497</v>
      </c>
      <c r="F173" s="13">
        <v>1</v>
      </c>
      <c r="H173" s="13">
        <f t="shared" si="66"/>
        <v>0</v>
      </c>
      <c r="I173" s="13">
        <f t="shared" si="67"/>
        <v>0</v>
      </c>
      <c r="J173" s="13">
        <f t="shared" si="68"/>
        <v>0</v>
      </c>
      <c r="K173" s="13">
        <v>0.00102</v>
      </c>
      <c r="L173" s="13">
        <f t="shared" si="69"/>
        <v>0.00102</v>
      </c>
      <c r="N173" s="25" t="s">
        <v>7</v>
      </c>
      <c r="O173" s="13">
        <f t="shared" si="70"/>
        <v>0</v>
      </c>
      <c r="Z173" s="13">
        <f t="shared" si="71"/>
        <v>0</v>
      </c>
      <c r="AA173" s="13">
        <f t="shared" si="72"/>
        <v>0</v>
      </c>
      <c r="AB173" s="13">
        <f t="shared" si="73"/>
        <v>0</v>
      </c>
      <c r="AD173" s="13">
        <v>21</v>
      </c>
      <c r="AE173" s="13">
        <f>G173*0.950975023087</f>
        <v>0</v>
      </c>
      <c r="AF173" s="13">
        <f>G173*(1-0.950975023087)</f>
        <v>0</v>
      </c>
    </row>
    <row r="174" spans="1:32" ht="12.75">
      <c r="A174" s="5" t="s">
        <v>138</v>
      </c>
      <c r="B174" s="5" t="s">
        <v>158</v>
      </c>
      <c r="C174" s="104" t="s">
        <v>294</v>
      </c>
      <c r="D174" s="5" t="s">
        <v>468</v>
      </c>
      <c r="E174" s="5" t="s">
        <v>497</v>
      </c>
      <c r="F174" s="13">
        <v>2</v>
      </c>
      <c r="H174" s="13">
        <f t="shared" si="66"/>
        <v>0</v>
      </c>
      <c r="I174" s="13">
        <f t="shared" si="67"/>
        <v>0</v>
      </c>
      <c r="J174" s="13">
        <f t="shared" si="68"/>
        <v>0</v>
      </c>
      <c r="K174" s="13">
        <v>0.046</v>
      </c>
      <c r="L174" s="13">
        <f t="shared" si="69"/>
        <v>0.092</v>
      </c>
      <c r="N174" s="25" t="s">
        <v>522</v>
      </c>
      <c r="O174" s="13">
        <f t="shared" si="70"/>
        <v>0</v>
      </c>
      <c r="Z174" s="13">
        <f t="shared" si="71"/>
        <v>0</v>
      </c>
      <c r="AA174" s="13">
        <f t="shared" si="72"/>
        <v>0</v>
      </c>
      <c r="AB174" s="13">
        <f t="shared" si="73"/>
        <v>0</v>
      </c>
      <c r="AD174" s="13">
        <v>21</v>
      </c>
      <c r="AE174" s="13">
        <f>G174*1</f>
        <v>0</v>
      </c>
      <c r="AF174" s="13">
        <f>G174*(1-1)</f>
        <v>0</v>
      </c>
    </row>
    <row r="175" spans="1:32" ht="12.75">
      <c r="A175" s="5" t="s">
        <v>139</v>
      </c>
      <c r="B175" s="5" t="s">
        <v>158</v>
      </c>
      <c r="C175" s="104" t="s">
        <v>295</v>
      </c>
      <c r="D175" s="5" t="s">
        <v>469</v>
      </c>
      <c r="E175" s="5" t="s">
        <v>500</v>
      </c>
      <c r="F175" s="13">
        <v>1</v>
      </c>
      <c r="H175" s="13">
        <f t="shared" si="66"/>
        <v>0</v>
      </c>
      <c r="I175" s="13">
        <f t="shared" si="67"/>
        <v>0</v>
      </c>
      <c r="J175" s="13">
        <f t="shared" si="68"/>
        <v>0</v>
      </c>
      <c r="K175" s="13">
        <v>0</v>
      </c>
      <c r="L175" s="13">
        <f t="shared" si="69"/>
        <v>0</v>
      </c>
      <c r="N175" s="25" t="s">
        <v>7</v>
      </c>
      <c r="O175" s="13">
        <f t="shared" si="70"/>
        <v>0</v>
      </c>
      <c r="Z175" s="13">
        <f t="shared" si="71"/>
        <v>0</v>
      </c>
      <c r="AA175" s="13">
        <f t="shared" si="72"/>
        <v>0</v>
      </c>
      <c r="AB175" s="13">
        <f t="shared" si="73"/>
        <v>0</v>
      </c>
      <c r="AD175" s="13">
        <v>21</v>
      </c>
      <c r="AE175" s="13">
        <f>G175*0.230769230769231</f>
        <v>0</v>
      </c>
      <c r="AF175" s="13">
        <f>G175*(1-0.230769230769231)</f>
        <v>0</v>
      </c>
    </row>
    <row r="176" spans="1:32" ht="12.75">
      <c r="A176" s="5" t="s">
        <v>140</v>
      </c>
      <c r="B176" s="5" t="s">
        <v>158</v>
      </c>
      <c r="C176" s="104" t="s">
        <v>296</v>
      </c>
      <c r="D176" s="5" t="s">
        <v>470</v>
      </c>
      <c r="E176" s="5" t="s">
        <v>500</v>
      </c>
      <c r="F176" s="13">
        <v>1</v>
      </c>
      <c r="H176" s="13">
        <f t="shared" si="66"/>
        <v>0</v>
      </c>
      <c r="I176" s="13">
        <f t="shared" si="67"/>
        <v>0</v>
      </c>
      <c r="J176" s="13">
        <f t="shared" si="68"/>
        <v>0</v>
      </c>
      <c r="K176" s="13">
        <v>0</v>
      </c>
      <c r="L176" s="13">
        <f t="shared" si="69"/>
        <v>0</v>
      </c>
      <c r="N176" s="25" t="s">
        <v>7</v>
      </c>
      <c r="O176" s="13">
        <f t="shared" si="70"/>
        <v>0</v>
      </c>
      <c r="Z176" s="13">
        <f t="shared" si="71"/>
        <v>0</v>
      </c>
      <c r="AA176" s="13">
        <f t="shared" si="72"/>
        <v>0</v>
      </c>
      <c r="AB176" s="13">
        <f t="shared" si="73"/>
        <v>0</v>
      </c>
      <c r="AD176" s="13">
        <v>21</v>
      </c>
      <c r="AE176" s="13">
        <f>G176*0.8</f>
        <v>0</v>
      </c>
      <c r="AF176" s="13">
        <f>G176*(1-0.8)</f>
        <v>0</v>
      </c>
    </row>
    <row r="177" spans="1:32" ht="12.75">
      <c r="A177" s="5" t="s">
        <v>141</v>
      </c>
      <c r="B177" s="5" t="s">
        <v>158</v>
      </c>
      <c r="C177" s="104" t="s">
        <v>297</v>
      </c>
      <c r="D177" s="5" t="s">
        <v>471</v>
      </c>
      <c r="E177" s="5" t="s">
        <v>501</v>
      </c>
      <c r="F177" s="13">
        <v>1</v>
      </c>
      <c r="H177" s="13">
        <f t="shared" si="66"/>
        <v>0</v>
      </c>
      <c r="I177" s="13">
        <f t="shared" si="67"/>
        <v>0</v>
      </c>
      <c r="J177" s="13">
        <f t="shared" si="68"/>
        <v>0</v>
      </c>
      <c r="K177" s="13">
        <v>0</v>
      </c>
      <c r="L177" s="13">
        <f t="shared" si="69"/>
        <v>0</v>
      </c>
      <c r="N177" s="25" t="s">
        <v>7</v>
      </c>
      <c r="O177" s="13">
        <f t="shared" si="70"/>
        <v>0</v>
      </c>
      <c r="Z177" s="13">
        <f t="shared" si="71"/>
        <v>0</v>
      </c>
      <c r="AA177" s="13">
        <f t="shared" si="72"/>
        <v>0</v>
      </c>
      <c r="AB177" s="13">
        <f t="shared" si="73"/>
        <v>0</v>
      </c>
      <c r="AD177" s="13">
        <v>21</v>
      </c>
      <c r="AE177" s="13">
        <f>G177*0.666666666666667</f>
        <v>0</v>
      </c>
      <c r="AF177" s="13">
        <f>G177*(1-0.666666666666667)</f>
        <v>0</v>
      </c>
    </row>
    <row r="178" spans="1:32" ht="12.75">
      <c r="A178" s="5" t="s">
        <v>142</v>
      </c>
      <c r="B178" s="5" t="s">
        <v>158</v>
      </c>
      <c r="C178" s="104" t="s">
        <v>298</v>
      </c>
      <c r="D178" s="5" t="s">
        <v>472</v>
      </c>
      <c r="E178" s="5" t="s">
        <v>501</v>
      </c>
      <c r="F178" s="13">
        <v>1</v>
      </c>
      <c r="H178" s="13">
        <f t="shared" si="66"/>
        <v>0</v>
      </c>
      <c r="I178" s="13">
        <f t="shared" si="67"/>
        <v>0</v>
      </c>
      <c r="J178" s="13">
        <f t="shared" si="68"/>
        <v>0</v>
      </c>
      <c r="K178" s="13">
        <v>0</v>
      </c>
      <c r="L178" s="13">
        <f t="shared" si="69"/>
        <v>0</v>
      </c>
      <c r="N178" s="25" t="s">
        <v>7</v>
      </c>
      <c r="O178" s="13">
        <f t="shared" si="70"/>
        <v>0</v>
      </c>
      <c r="Z178" s="13">
        <f t="shared" si="71"/>
        <v>0</v>
      </c>
      <c r="AA178" s="13">
        <f t="shared" si="72"/>
        <v>0</v>
      </c>
      <c r="AB178" s="13">
        <f t="shared" si="73"/>
        <v>0</v>
      </c>
      <c r="AD178" s="13">
        <v>21</v>
      </c>
      <c r="AE178" s="13">
        <f aca="true" t="shared" si="74" ref="AE178:AE183">G178*0.736842105263158</f>
        <v>0</v>
      </c>
      <c r="AF178" s="13">
        <f aca="true" t="shared" si="75" ref="AF178:AF183">G178*(1-0.736842105263158)</f>
        <v>0</v>
      </c>
    </row>
    <row r="179" spans="1:32" ht="12.75">
      <c r="A179" s="5" t="s">
        <v>143</v>
      </c>
      <c r="B179" s="5" t="s">
        <v>158</v>
      </c>
      <c r="C179" s="104" t="s">
        <v>298</v>
      </c>
      <c r="D179" s="5" t="s">
        <v>473</v>
      </c>
      <c r="E179" s="5" t="s">
        <v>501</v>
      </c>
      <c r="F179" s="13">
        <v>1</v>
      </c>
      <c r="H179" s="13">
        <f t="shared" si="66"/>
        <v>0</v>
      </c>
      <c r="I179" s="13">
        <f t="shared" si="67"/>
        <v>0</v>
      </c>
      <c r="J179" s="13">
        <f t="shared" si="68"/>
        <v>0</v>
      </c>
      <c r="K179" s="13">
        <v>0</v>
      </c>
      <c r="L179" s="13">
        <f t="shared" si="69"/>
        <v>0</v>
      </c>
      <c r="N179" s="25" t="s">
        <v>7</v>
      </c>
      <c r="O179" s="13">
        <f t="shared" si="70"/>
        <v>0</v>
      </c>
      <c r="Z179" s="13">
        <f t="shared" si="71"/>
        <v>0</v>
      </c>
      <c r="AA179" s="13">
        <f t="shared" si="72"/>
        <v>0</v>
      </c>
      <c r="AB179" s="13">
        <f t="shared" si="73"/>
        <v>0</v>
      </c>
      <c r="AD179" s="13">
        <v>21</v>
      </c>
      <c r="AE179" s="13">
        <f t="shared" si="74"/>
        <v>0</v>
      </c>
      <c r="AF179" s="13">
        <f t="shared" si="75"/>
        <v>0</v>
      </c>
    </row>
    <row r="180" spans="1:32" ht="12.75">
      <c r="A180" s="5" t="s">
        <v>144</v>
      </c>
      <c r="B180" s="5" t="s">
        <v>158</v>
      </c>
      <c r="C180" s="104" t="s">
        <v>298</v>
      </c>
      <c r="D180" s="5" t="s">
        <v>474</v>
      </c>
      <c r="E180" s="5" t="s">
        <v>501</v>
      </c>
      <c r="F180" s="13">
        <v>1</v>
      </c>
      <c r="H180" s="13">
        <f t="shared" si="66"/>
        <v>0</v>
      </c>
      <c r="I180" s="13">
        <f t="shared" si="67"/>
        <v>0</v>
      </c>
      <c r="J180" s="13">
        <f t="shared" si="68"/>
        <v>0</v>
      </c>
      <c r="K180" s="13">
        <v>0</v>
      </c>
      <c r="L180" s="13">
        <f t="shared" si="69"/>
        <v>0</v>
      </c>
      <c r="N180" s="25" t="s">
        <v>7</v>
      </c>
      <c r="O180" s="13">
        <f t="shared" si="70"/>
        <v>0</v>
      </c>
      <c r="Z180" s="13">
        <f t="shared" si="71"/>
        <v>0</v>
      </c>
      <c r="AA180" s="13">
        <f t="shared" si="72"/>
        <v>0</v>
      </c>
      <c r="AB180" s="13">
        <f t="shared" si="73"/>
        <v>0</v>
      </c>
      <c r="AD180" s="13">
        <v>21</v>
      </c>
      <c r="AE180" s="13">
        <f t="shared" si="74"/>
        <v>0</v>
      </c>
      <c r="AF180" s="13">
        <f t="shared" si="75"/>
        <v>0</v>
      </c>
    </row>
    <row r="181" spans="1:32" ht="12.75">
      <c r="A181" s="5" t="s">
        <v>145</v>
      </c>
      <c r="B181" s="5" t="s">
        <v>158</v>
      </c>
      <c r="C181" s="104" t="s">
        <v>298</v>
      </c>
      <c r="D181" s="5" t="s">
        <v>475</v>
      </c>
      <c r="E181" s="5" t="s">
        <v>501</v>
      </c>
      <c r="F181" s="13">
        <v>1</v>
      </c>
      <c r="H181" s="13">
        <f t="shared" si="66"/>
        <v>0</v>
      </c>
      <c r="I181" s="13">
        <f t="shared" si="67"/>
        <v>0</v>
      </c>
      <c r="J181" s="13">
        <f t="shared" si="68"/>
        <v>0</v>
      </c>
      <c r="K181" s="13">
        <v>0</v>
      </c>
      <c r="L181" s="13">
        <f t="shared" si="69"/>
        <v>0</v>
      </c>
      <c r="N181" s="25" t="s">
        <v>7</v>
      </c>
      <c r="O181" s="13">
        <f t="shared" si="70"/>
        <v>0</v>
      </c>
      <c r="Z181" s="13">
        <f t="shared" si="71"/>
        <v>0</v>
      </c>
      <c r="AA181" s="13">
        <f t="shared" si="72"/>
        <v>0</v>
      </c>
      <c r="AB181" s="13">
        <f t="shared" si="73"/>
        <v>0</v>
      </c>
      <c r="AD181" s="13">
        <v>21</v>
      </c>
      <c r="AE181" s="13">
        <f t="shared" si="74"/>
        <v>0</v>
      </c>
      <c r="AF181" s="13">
        <f t="shared" si="75"/>
        <v>0</v>
      </c>
    </row>
    <row r="182" spans="1:32" ht="12.75">
      <c r="A182" s="5" t="s">
        <v>146</v>
      </c>
      <c r="B182" s="5" t="s">
        <v>158</v>
      </c>
      <c r="C182" s="104" t="s">
        <v>298</v>
      </c>
      <c r="D182" s="5" t="s">
        <v>476</v>
      </c>
      <c r="E182" s="5" t="s">
        <v>501</v>
      </c>
      <c r="F182" s="13">
        <v>3</v>
      </c>
      <c r="H182" s="13">
        <f t="shared" si="66"/>
        <v>0</v>
      </c>
      <c r="I182" s="13">
        <f t="shared" si="67"/>
        <v>0</v>
      </c>
      <c r="J182" s="13">
        <f t="shared" si="68"/>
        <v>0</v>
      </c>
      <c r="K182" s="13">
        <v>0</v>
      </c>
      <c r="L182" s="13">
        <f t="shared" si="69"/>
        <v>0</v>
      </c>
      <c r="N182" s="25" t="s">
        <v>7</v>
      </c>
      <c r="O182" s="13">
        <f t="shared" si="70"/>
        <v>0</v>
      </c>
      <c r="Z182" s="13">
        <f t="shared" si="71"/>
        <v>0</v>
      </c>
      <c r="AA182" s="13">
        <f t="shared" si="72"/>
        <v>0</v>
      </c>
      <c r="AB182" s="13">
        <f t="shared" si="73"/>
        <v>0</v>
      </c>
      <c r="AD182" s="13">
        <v>21</v>
      </c>
      <c r="AE182" s="13">
        <f t="shared" si="74"/>
        <v>0</v>
      </c>
      <c r="AF182" s="13">
        <f t="shared" si="75"/>
        <v>0</v>
      </c>
    </row>
    <row r="183" spans="1:32" ht="12.75">
      <c r="A183" s="5" t="s">
        <v>147</v>
      </c>
      <c r="B183" s="5" t="s">
        <v>158</v>
      </c>
      <c r="C183" s="104" t="s">
        <v>298</v>
      </c>
      <c r="D183" s="5" t="s">
        <v>477</v>
      </c>
      <c r="E183" s="5" t="s">
        <v>501</v>
      </c>
      <c r="F183" s="13">
        <v>1</v>
      </c>
      <c r="H183" s="13">
        <f t="shared" si="66"/>
        <v>0</v>
      </c>
      <c r="I183" s="13">
        <f t="shared" si="67"/>
        <v>0</v>
      </c>
      <c r="J183" s="13">
        <f t="shared" si="68"/>
        <v>0</v>
      </c>
      <c r="K183" s="13">
        <v>0</v>
      </c>
      <c r="L183" s="13">
        <f t="shared" si="69"/>
        <v>0</v>
      </c>
      <c r="N183" s="25" t="s">
        <v>7</v>
      </c>
      <c r="O183" s="13">
        <f t="shared" si="70"/>
        <v>0</v>
      </c>
      <c r="Z183" s="13">
        <f t="shared" si="71"/>
        <v>0</v>
      </c>
      <c r="AA183" s="13">
        <f t="shared" si="72"/>
        <v>0</v>
      </c>
      <c r="AB183" s="13">
        <f t="shared" si="73"/>
        <v>0</v>
      </c>
      <c r="AD183" s="13">
        <v>21</v>
      </c>
      <c r="AE183" s="13">
        <f t="shared" si="74"/>
        <v>0</v>
      </c>
      <c r="AF183" s="13">
        <f t="shared" si="75"/>
        <v>0</v>
      </c>
    </row>
    <row r="184" spans="1:32" ht="12.75">
      <c r="A184" s="5" t="s">
        <v>148</v>
      </c>
      <c r="B184" s="5" t="s">
        <v>158</v>
      </c>
      <c r="C184" s="104" t="s">
        <v>299</v>
      </c>
      <c r="D184" s="5" t="s">
        <v>478</v>
      </c>
      <c r="E184" s="5" t="s">
        <v>500</v>
      </c>
      <c r="F184" s="13">
        <v>1</v>
      </c>
      <c r="H184" s="13">
        <f t="shared" si="66"/>
        <v>0</v>
      </c>
      <c r="I184" s="13">
        <f t="shared" si="67"/>
        <v>0</v>
      </c>
      <c r="J184" s="13">
        <f t="shared" si="68"/>
        <v>0</v>
      </c>
      <c r="K184" s="13">
        <v>0</v>
      </c>
      <c r="L184" s="13">
        <f t="shared" si="69"/>
        <v>0</v>
      </c>
      <c r="N184" s="25" t="s">
        <v>7</v>
      </c>
      <c r="O184" s="13">
        <f t="shared" si="70"/>
        <v>0</v>
      </c>
      <c r="Z184" s="13">
        <f t="shared" si="71"/>
        <v>0</v>
      </c>
      <c r="AA184" s="13">
        <f t="shared" si="72"/>
        <v>0</v>
      </c>
      <c r="AB184" s="13">
        <f t="shared" si="73"/>
        <v>0</v>
      </c>
      <c r="AD184" s="13">
        <v>21</v>
      </c>
      <c r="AE184" s="13">
        <f>G184*0</f>
        <v>0</v>
      </c>
      <c r="AF184" s="13">
        <f>G184*(1-0)</f>
        <v>0</v>
      </c>
    </row>
    <row r="185" spans="1:32" ht="12.75">
      <c r="A185" s="5" t="s">
        <v>149</v>
      </c>
      <c r="B185" s="5" t="s">
        <v>158</v>
      </c>
      <c r="C185" s="104" t="s">
        <v>300</v>
      </c>
      <c r="D185" s="5" t="s">
        <v>479</v>
      </c>
      <c r="E185" s="5" t="s">
        <v>491</v>
      </c>
      <c r="F185" s="13">
        <v>0.5097</v>
      </c>
      <c r="H185" s="13">
        <f t="shared" si="66"/>
        <v>0</v>
      </c>
      <c r="I185" s="13">
        <f t="shared" si="67"/>
        <v>0</v>
      </c>
      <c r="J185" s="13">
        <f t="shared" si="68"/>
        <v>0</v>
      </c>
      <c r="K185" s="13">
        <v>0</v>
      </c>
      <c r="L185" s="13">
        <f t="shared" si="69"/>
        <v>0</v>
      </c>
      <c r="N185" s="25" t="s">
        <v>11</v>
      </c>
      <c r="O185" s="13">
        <f t="shared" si="70"/>
        <v>0</v>
      </c>
      <c r="Z185" s="13">
        <f t="shared" si="71"/>
        <v>0</v>
      </c>
      <c r="AA185" s="13">
        <f t="shared" si="72"/>
        <v>0</v>
      </c>
      <c r="AB185" s="13">
        <f t="shared" si="73"/>
        <v>0</v>
      </c>
      <c r="AD185" s="13">
        <v>21</v>
      </c>
      <c r="AE185" s="13">
        <f>G185*0</f>
        <v>0</v>
      </c>
      <c r="AF185" s="13">
        <f>G185*(1-0)</f>
        <v>0</v>
      </c>
    </row>
    <row r="186" spans="1:32" ht="12.75">
      <c r="A186" s="5" t="s">
        <v>150</v>
      </c>
      <c r="B186" s="5" t="s">
        <v>158</v>
      </c>
      <c r="C186" s="104" t="s">
        <v>301</v>
      </c>
      <c r="D186" s="5" t="s">
        <v>480</v>
      </c>
      <c r="E186" s="5" t="s">
        <v>500</v>
      </c>
      <c r="F186" s="13">
        <v>1</v>
      </c>
      <c r="H186" s="13">
        <f t="shared" si="66"/>
        <v>0</v>
      </c>
      <c r="I186" s="13">
        <f t="shared" si="67"/>
        <v>0</v>
      </c>
      <c r="J186" s="13">
        <f t="shared" si="68"/>
        <v>0</v>
      </c>
      <c r="K186" s="13">
        <v>0</v>
      </c>
      <c r="L186" s="13">
        <f t="shared" si="69"/>
        <v>0</v>
      </c>
      <c r="N186" s="25" t="s">
        <v>7</v>
      </c>
      <c r="O186" s="13">
        <f t="shared" si="70"/>
        <v>0</v>
      </c>
      <c r="Z186" s="13">
        <f t="shared" si="71"/>
        <v>0</v>
      </c>
      <c r="AA186" s="13">
        <f t="shared" si="72"/>
        <v>0</v>
      </c>
      <c r="AB186" s="13">
        <f t="shared" si="73"/>
        <v>0</v>
      </c>
      <c r="AD186" s="13">
        <v>21</v>
      </c>
      <c r="AE186" s="13">
        <f>G186*0</f>
        <v>0</v>
      </c>
      <c r="AF186" s="13">
        <f>G186*(1-0)</f>
        <v>0</v>
      </c>
    </row>
    <row r="187" spans="1:32" ht="12.75">
      <c r="A187" s="5" t="s">
        <v>151</v>
      </c>
      <c r="B187" s="5" t="s">
        <v>158</v>
      </c>
      <c r="C187" s="104" t="s">
        <v>302</v>
      </c>
      <c r="D187" s="5" t="s">
        <v>481</v>
      </c>
      <c r="E187" s="5" t="s">
        <v>502</v>
      </c>
      <c r="F187" s="13">
        <v>16</v>
      </c>
      <c r="H187" s="13">
        <f t="shared" si="66"/>
        <v>0</v>
      </c>
      <c r="I187" s="13">
        <f t="shared" si="67"/>
        <v>0</v>
      </c>
      <c r="J187" s="13">
        <f t="shared" si="68"/>
        <v>0</v>
      </c>
      <c r="K187" s="13">
        <v>0</v>
      </c>
      <c r="L187" s="13">
        <f t="shared" si="69"/>
        <v>0</v>
      </c>
      <c r="N187" s="25" t="s">
        <v>7</v>
      </c>
      <c r="O187" s="13">
        <f t="shared" si="70"/>
        <v>0</v>
      </c>
      <c r="Z187" s="13">
        <f t="shared" si="71"/>
        <v>0</v>
      </c>
      <c r="AA187" s="13">
        <f t="shared" si="72"/>
        <v>0</v>
      </c>
      <c r="AB187" s="13">
        <f t="shared" si="73"/>
        <v>0</v>
      </c>
      <c r="AD187" s="13">
        <v>21</v>
      </c>
      <c r="AE187" s="13">
        <f>G187*0</f>
        <v>0</v>
      </c>
      <c r="AF187" s="13">
        <f>G187*(1-0)</f>
        <v>0</v>
      </c>
    </row>
    <row r="188" spans="1:37" ht="12.75">
      <c r="A188" s="4"/>
      <c r="B188" s="4"/>
      <c r="C188" s="11" t="s">
        <v>303</v>
      </c>
      <c r="D188" s="44" t="s">
        <v>482</v>
      </c>
      <c r="E188" s="45"/>
      <c r="F188" s="45"/>
      <c r="G188" s="45"/>
      <c r="H188" s="27">
        <f>SUM(H189:H190)</f>
        <v>0</v>
      </c>
      <c r="I188" s="27">
        <f>SUM(I189:I190)</f>
        <v>0</v>
      </c>
      <c r="J188" s="27">
        <f>H188+I188</f>
        <v>0</v>
      </c>
      <c r="K188" s="22"/>
      <c r="L188" s="27">
        <f>SUM(L189:L190)</f>
        <v>0</v>
      </c>
      <c r="P188" s="27">
        <f>IF(Q188="PR",J188,SUM(O189:O190))</f>
        <v>0</v>
      </c>
      <c r="Q188" s="22" t="s">
        <v>528</v>
      </c>
      <c r="R188" s="27">
        <f>IF(Q188="HS",H188,0)</f>
        <v>0</v>
      </c>
      <c r="S188" s="27">
        <f>IF(Q188="HS",I188-P188,0)</f>
        <v>0</v>
      </c>
      <c r="T188" s="27">
        <f>IF(Q188="PS",H188,0)</f>
        <v>0</v>
      </c>
      <c r="U188" s="27">
        <f>IF(Q188="PS",I188-P188,0)</f>
        <v>0</v>
      </c>
      <c r="V188" s="27">
        <f>IF(Q188="MP",H188,0)</f>
        <v>0</v>
      </c>
      <c r="W188" s="27">
        <f>IF(Q188="MP",I188-P188,0)</f>
        <v>0</v>
      </c>
      <c r="X188" s="27">
        <f>IF(Q188="OM",H188,0)</f>
        <v>0</v>
      </c>
      <c r="Y188" s="22" t="s">
        <v>158</v>
      </c>
      <c r="AI188" s="27">
        <f>SUM(Z189:Z190)</f>
        <v>0</v>
      </c>
      <c r="AJ188" s="27">
        <f>SUM(AA189:AA190)</f>
        <v>0</v>
      </c>
      <c r="AK188" s="27">
        <f>SUM(AB189:AB190)</f>
        <v>0</v>
      </c>
    </row>
    <row r="189" spans="1:32" ht="12.75">
      <c r="A189" s="5" t="s">
        <v>152</v>
      </c>
      <c r="B189" s="5" t="s">
        <v>158</v>
      </c>
      <c r="C189" s="104" t="s">
        <v>304</v>
      </c>
      <c r="D189" s="5" t="s">
        <v>483</v>
      </c>
      <c r="E189" s="5" t="s">
        <v>503</v>
      </c>
      <c r="F189" s="13">
        <v>1</v>
      </c>
      <c r="H189" s="13">
        <f>ROUND(F189*AE189,2)</f>
        <v>0</v>
      </c>
      <c r="I189" s="13">
        <f>J189-H189</f>
        <v>0</v>
      </c>
      <c r="J189" s="13">
        <f>ROUND(F189*G189,2)</f>
        <v>0</v>
      </c>
      <c r="K189" s="13">
        <v>0</v>
      </c>
      <c r="L189" s="13">
        <f>F189*K189</f>
        <v>0</v>
      </c>
      <c r="N189" s="25" t="s">
        <v>11</v>
      </c>
      <c r="O189" s="13">
        <f>IF(N189="5",I189,0)</f>
        <v>0</v>
      </c>
      <c r="Z189" s="13">
        <f>IF(AD189=0,J189,0)</f>
        <v>0</v>
      </c>
      <c r="AA189" s="13">
        <f>IF(AD189=15,J189,0)</f>
        <v>0</v>
      </c>
      <c r="AB189" s="13">
        <f>IF(AD189=21,J189,0)</f>
        <v>0</v>
      </c>
      <c r="AD189" s="13">
        <v>21</v>
      </c>
      <c r="AE189" s="13">
        <f>G189*0</f>
        <v>0</v>
      </c>
      <c r="AF189" s="13">
        <f>G189*(1-0)</f>
        <v>0</v>
      </c>
    </row>
    <row r="190" spans="1:32" ht="12.75">
      <c r="A190" s="6" t="s">
        <v>153</v>
      </c>
      <c r="B190" s="6" t="s">
        <v>158</v>
      </c>
      <c r="C190" s="105" t="s">
        <v>305</v>
      </c>
      <c r="D190" s="6" t="s">
        <v>484</v>
      </c>
      <c r="E190" s="6" t="s">
        <v>500</v>
      </c>
      <c r="F190" s="14">
        <v>1</v>
      </c>
      <c r="G190" s="17"/>
      <c r="H190" s="14">
        <f>ROUND(F190*AE190,2)</f>
        <v>0</v>
      </c>
      <c r="I190" s="14">
        <f>J190-H190</f>
        <v>0</v>
      </c>
      <c r="J190" s="14">
        <f>ROUND(F190*G190,2)</f>
        <v>0</v>
      </c>
      <c r="K190" s="14">
        <v>0</v>
      </c>
      <c r="L190" s="14">
        <f>F190*K190</f>
        <v>0</v>
      </c>
      <c r="N190" s="25" t="s">
        <v>7</v>
      </c>
      <c r="O190" s="13">
        <f>IF(N190="5",I190,0)</f>
        <v>0</v>
      </c>
      <c r="Z190" s="13">
        <f>IF(AD190=0,J190,0)</f>
        <v>0</v>
      </c>
      <c r="AA190" s="13">
        <f>IF(AD190=15,J190,0)</f>
        <v>0</v>
      </c>
      <c r="AB190" s="13">
        <f>IF(AD190=21,J190,0)</f>
        <v>0</v>
      </c>
      <c r="AD190" s="13">
        <v>21</v>
      </c>
      <c r="AE190" s="13">
        <f>G190*0</f>
        <v>0</v>
      </c>
      <c r="AF190" s="13">
        <f>G190*(1-0)</f>
        <v>0</v>
      </c>
    </row>
    <row r="191" spans="1:28" ht="12.75">
      <c r="A191" s="7"/>
      <c r="B191" s="7"/>
      <c r="C191" s="7"/>
      <c r="D191" s="7"/>
      <c r="E191" s="7"/>
      <c r="F191" s="7"/>
      <c r="G191" s="7"/>
      <c r="H191" s="46" t="s">
        <v>510</v>
      </c>
      <c r="I191" s="47"/>
      <c r="J191" s="28">
        <f>J13+J15+J23+J31+J35+J39+J42+J46+J51+J60+J63+J66+J71+J77+J81+J83+J88+J105+J108+J119+J129+J146+J149+J152+J154+J156+J166+J188</f>
        <v>0</v>
      </c>
      <c r="K191" s="7"/>
      <c r="L191" s="7"/>
      <c r="Z191" s="29">
        <f>SUM(Z13:Z190)</f>
        <v>0</v>
      </c>
      <c r="AA191" s="29">
        <f>SUM(AA13:AA190)</f>
        <v>0</v>
      </c>
      <c r="AB191" s="29">
        <f>SUM(AB13:AB190)</f>
        <v>0</v>
      </c>
    </row>
  </sheetData>
  <sheetProtection/>
  <mergeCells count="60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G2:H3"/>
    <mergeCell ref="G4:H5"/>
    <mergeCell ref="G6:H7"/>
    <mergeCell ref="G8:H9"/>
    <mergeCell ref="A8:C9"/>
    <mergeCell ref="D2:D3"/>
    <mergeCell ref="D4:D5"/>
    <mergeCell ref="D6:D7"/>
    <mergeCell ref="D8:D9"/>
    <mergeCell ref="H10:J10"/>
    <mergeCell ref="K10:L10"/>
    <mergeCell ref="D12:G12"/>
    <mergeCell ref="D13:G13"/>
    <mergeCell ref="I8:I9"/>
    <mergeCell ref="J2:L3"/>
    <mergeCell ref="J4:L5"/>
    <mergeCell ref="J6:L7"/>
    <mergeCell ref="J8:L9"/>
    <mergeCell ref="E8:F9"/>
    <mergeCell ref="D35:G35"/>
    <mergeCell ref="D39:G39"/>
    <mergeCell ref="D42:G42"/>
    <mergeCell ref="D46:G46"/>
    <mergeCell ref="D15:G15"/>
    <mergeCell ref="D23:G23"/>
    <mergeCell ref="D31:G31"/>
    <mergeCell ref="D34:G34"/>
    <mergeCell ref="D71:G71"/>
    <mergeCell ref="D77:G77"/>
    <mergeCell ref="D81:G81"/>
    <mergeCell ref="D83:G83"/>
    <mergeCell ref="D51:G51"/>
    <mergeCell ref="D60:G60"/>
    <mergeCell ref="D63:G63"/>
    <mergeCell ref="D66:G66"/>
    <mergeCell ref="D119:G119"/>
    <mergeCell ref="D129:G129"/>
    <mergeCell ref="D146:G146"/>
    <mergeCell ref="D149:G149"/>
    <mergeCell ref="D87:G87"/>
    <mergeCell ref="D88:G88"/>
    <mergeCell ref="D105:G105"/>
    <mergeCell ref="D108:G108"/>
    <mergeCell ref="D166:G166"/>
    <mergeCell ref="D188:G188"/>
    <mergeCell ref="H191:I191"/>
    <mergeCell ref="D152:G152"/>
    <mergeCell ref="D154:G154"/>
    <mergeCell ref="D156:G156"/>
    <mergeCell ref="D165:G16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  <col min="13" max="14" width="12.140625" style="0" hidden="1" customWidth="1"/>
  </cols>
  <sheetData>
    <row r="1" spans="1:12" ht="21.75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12.75">
      <c r="A2" s="67" t="s">
        <v>1</v>
      </c>
      <c r="B2" s="56"/>
      <c r="C2" s="56"/>
      <c r="D2" s="46" t="s">
        <v>306</v>
      </c>
      <c r="E2" s="55" t="s">
        <v>485</v>
      </c>
      <c r="F2" s="56"/>
      <c r="G2" s="55" t="s">
        <v>505</v>
      </c>
      <c r="H2" s="56"/>
      <c r="I2" s="55" t="s">
        <v>511</v>
      </c>
      <c r="J2" s="55" t="s">
        <v>516</v>
      </c>
      <c r="K2" s="56"/>
      <c r="L2" s="57"/>
      <c r="M2" s="23"/>
    </row>
    <row r="3" spans="1:13" ht="12.75">
      <c r="A3" s="68"/>
      <c r="B3" s="58"/>
      <c r="C3" s="58"/>
      <c r="D3" s="64"/>
      <c r="E3" s="58"/>
      <c r="F3" s="58"/>
      <c r="G3" s="58"/>
      <c r="H3" s="58"/>
      <c r="I3" s="58"/>
      <c r="J3" s="58"/>
      <c r="K3" s="58"/>
      <c r="L3" s="59"/>
      <c r="M3" s="23"/>
    </row>
    <row r="4" spans="1:13" ht="12.75">
      <c r="A4" s="62" t="s">
        <v>2</v>
      </c>
      <c r="B4" s="58"/>
      <c r="C4" s="58"/>
      <c r="D4" s="53" t="s">
        <v>307</v>
      </c>
      <c r="E4" s="53" t="s">
        <v>486</v>
      </c>
      <c r="F4" s="58"/>
      <c r="G4" s="61">
        <v>41396</v>
      </c>
      <c r="H4" s="58"/>
      <c r="I4" s="53" t="s">
        <v>512</v>
      </c>
      <c r="J4" s="53" t="s">
        <v>517</v>
      </c>
      <c r="K4" s="58"/>
      <c r="L4" s="59"/>
      <c r="M4" s="23"/>
    </row>
    <row r="5" spans="1:13" ht="12.75">
      <c r="A5" s="68"/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  <c r="M5" s="23"/>
    </row>
    <row r="6" spans="1:13" ht="12.75">
      <c r="A6" s="62" t="s">
        <v>3</v>
      </c>
      <c r="B6" s="58"/>
      <c r="C6" s="58"/>
      <c r="D6" s="53" t="s">
        <v>308</v>
      </c>
      <c r="E6" s="53" t="s">
        <v>487</v>
      </c>
      <c r="F6" s="58"/>
      <c r="G6" s="61">
        <v>41639</v>
      </c>
      <c r="H6" s="58"/>
      <c r="I6" s="53" t="s">
        <v>513</v>
      </c>
      <c r="J6" s="53" t="s">
        <v>518</v>
      </c>
      <c r="K6" s="58"/>
      <c r="L6" s="59"/>
      <c r="M6" s="23"/>
    </row>
    <row r="7" spans="1:13" ht="12.75">
      <c r="A7" s="68"/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  <c r="M7" s="23"/>
    </row>
    <row r="8" spans="1:13" ht="12.75">
      <c r="A8" s="62" t="s">
        <v>4</v>
      </c>
      <c r="B8" s="58"/>
      <c r="C8" s="58"/>
      <c r="D8" s="53" t="s">
        <v>309</v>
      </c>
      <c r="E8" s="53" t="s">
        <v>488</v>
      </c>
      <c r="F8" s="58"/>
      <c r="G8" s="61">
        <v>41306</v>
      </c>
      <c r="H8" s="58"/>
      <c r="I8" s="53" t="s">
        <v>514</v>
      </c>
      <c r="J8" s="53" t="s">
        <v>519</v>
      </c>
      <c r="K8" s="58"/>
      <c r="L8" s="59"/>
      <c r="M8" s="23"/>
    </row>
    <row r="9" spans="1:13" ht="12.75">
      <c r="A9" s="63"/>
      <c r="B9" s="54"/>
      <c r="C9" s="54"/>
      <c r="D9" s="54"/>
      <c r="E9" s="54"/>
      <c r="F9" s="54"/>
      <c r="G9" s="54"/>
      <c r="H9" s="54"/>
      <c r="I9" s="54"/>
      <c r="J9" s="54"/>
      <c r="K9" s="54"/>
      <c r="L9" s="60"/>
      <c r="M9" s="23"/>
    </row>
    <row r="10" spans="1:13" ht="12.75">
      <c r="A10" s="8" t="s">
        <v>5</v>
      </c>
      <c r="B10" s="71" t="s">
        <v>5</v>
      </c>
      <c r="C10" s="72"/>
      <c r="D10" s="72"/>
      <c r="E10" s="72"/>
      <c r="F10" s="72"/>
      <c r="G10" s="72"/>
      <c r="H10" s="73"/>
      <c r="I10" s="48" t="s">
        <v>508</v>
      </c>
      <c r="J10" s="49"/>
      <c r="K10" s="50"/>
      <c r="L10" s="32" t="s">
        <v>521</v>
      </c>
      <c r="M10" s="24"/>
    </row>
    <row r="11" spans="1:13" ht="12.75">
      <c r="A11" s="9" t="s">
        <v>154</v>
      </c>
      <c r="B11" s="74" t="s">
        <v>310</v>
      </c>
      <c r="C11" s="75"/>
      <c r="D11" s="75"/>
      <c r="E11" s="75"/>
      <c r="F11" s="75"/>
      <c r="G11" s="75"/>
      <c r="H11" s="76"/>
      <c r="I11" s="18" t="s">
        <v>509</v>
      </c>
      <c r="J11" s="19" t="s">
        <v>515</v>
      </c>
      <c r="K11" s="19" t="s">
        <v>520</v>
      </c>
      <c r="L11" s="20" t="s">
        <v>520</v>
      </c>
      <c r="M11" s="24"/>
    </row>
    <row r="12" spans="1:14" ht="12.75">
      <c r="A12" s="30" t="s">
        <v>155</v>
      </c>
      <c r="B12" s="77" t="s">
        <v>311</v>
      </c>
      <c r="C12" s="72"/>
      <c r="D12" s="72"/>
      <c r="E12" s="72"/>
      <c r="F12" s="72"/>
      <c r="G12" s="72"/>
      <c r="H12" s="72"/>
      <c r="I12" s="31"/>
      <c r="J12" s="31"/>
      <c r="K12" s="31"/>
      <c r="L12" s="33">
        <v>36.03142</v>
      </c>
      <c r="M12" s="13" t="s">
        <v>537</v>
      </c>
      <c r="N12" s="13">
        <f>IF(M12="T",0,K12)</f>
        <v>0</v>
      </c>
    </row>
    <row r="13" spans="1:14" ht="12.75">
      <c r="A13" s="5" t="s">
        <v>156</v>
      </c>
      <c r="B13" s="53" t="s">
        <v>333</v>
      </c>
      <c r="C13" s="58"/>
      <c r="D13" s="58"/>
      <c r="E13" s="58"/>
      <c r="F13" s="58"/>
      <c r="G13" s="58"/>
      <c r="H13" s="58"/>
      <c r="L13" s="13">
        <v>207.49462</v>
      </c>
      <c r="M13" s="13" t="s">
        <v>537</v>
      </c>
      <c r="N13" s="13">
        <f>IF(M13="T",0,K13)</f>
        <v>0</v>
      </c>
    </row>
    <row r="14" spans="1:14" ht="12.75">
      <c r="A14" s="5" t="s">
        <v>157</v>
      </c>
      <c r="B14" s="53" t="s">
        <v>386</v>
      </c>
      <c r="C14" s="58"/>
      <c r="D14" s="58"/>
      <c r="E14" s="58"/>
      <c r="F14" s="58"/>
      <c r="G14" s="58"/>
      <c r="H14" s="58"/>
      <c r="L14" s="13">
        <v>1.45236</v>
      </c>
      <c r="M14" s="13" t="s">
        <v>537</v>
      </c>
      <c r="N14" s="13">
        <f>IF(M14="T",0,K14)</f>
        <v>0</v>
      </c>
    </row>
    <row r="15" spans="1:14" ht="12.75">
      <c r="A15" s="6" t="s">
        <v>158</v>
      </c>
      <c r="B15" s="69" t="s">
        <v>460</v>
      </c>
      <c r="C15" s="70"/>
      <c r="D15" s="70"/>
      <c r="E15" s="70"/>
      <c r="F15" s="70"/>
      <c r="G15" s="70"/>
      <c r="H15" s="70"/>
      <c r="I15" s="17"/>
      <c r="J15" s="17"/>
      <c r="K15" s="17"/>
      <c r="L15" s="14">
        <v>0.5452</v>
      </c>
      <c r="M15" s="13" t="s">
        <v>537</v>
      </c>
      <c r="N15" s="13">
        <f>IF(M15="T",0,K15)</f>
        <v>0</v>
      </c>
    </row>
    <row r="16" spans="1:12" ht="12.75">
      <c r="A16" s="7"/>
      <c r="B16" s="7"/>
      <c r="C16" s="7"/>
      <c r="D16" s="7"/>
      <c r="E16" s="7"/>
      <c r="F16" s="7"/>
      <c r="G16" s="7"/>
      <c r="H16" s="7"/>
      <c r="I16" s="46" t="s">
        <v>510</v>
      </c>
      <c r="J16" s="47"/>
      <c r="K16" s="28">
        <f>SUM(K12:K15)</f>
        <v>0</v>
      </c>
      <c r="L16" s="7"/>
    </row>
  </sheetData>
  <sheetProtection/>
  <mergeCells count="33">
    <mergeCell ref="I2:I3"/>
    <mergeCell ref="I4:I5"/>
    <mergeCell ref="I6:I7"/>
    <mergeCell ref="A8:C9"/>
    <mergeCell ref="D2:D3"/>
    <mergeCell ref="D4:D5"/>
    <mergeCell ref="D6:D7"/>
    <mergeCell ref="D8:D9"/>
    <mergeCell ref="A1:L1"/>
    <mergeCell ref="A2:C3"/>
    <mergeCell ref="A4:C5"/>
    <mergeCell ref="A6:C7"/>
    <mergeCell ref="E2:F3"/>
    <mergeCell ref="I8:I9"/>
    <mergeCell ref="J2:L3"/>
    <mergeCell ref="J4:L5"/>
    <mergeCell ref="J6:L7"/>
    <mergeCell ref="J8:L9"/>
    <mergeCell ref="E8:F9"/>
    <mergeCell ref="G2:H3"/>
    <mergeCell ref="G4:H5"/>
    <mergeCell ref="G6:H7"/>
    <mergeCell ref="G8:H9"/>
    <mergeCell ref="B13:H13"/>
    <mergeCell ref="E4:F5"/>
    <mergeCell ref="E6:F7"/>
    <mergeCell ref="B14:H14"/>
    <mergeCell ref="B15:H15"/>
    <mergeCell ref="I16:J16"/>
    <mergeCell ref="B10:H10"/>
    <mergeCell ref="B11:H11"/>
    <mergeCell ref="I10:K10"/>
    <mergeCell ref="B12:H1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101" t="s">
        <v>538</v>
      </c>
      <c r="B1" s="102"/>
      <c r="C1" s="102"/>
      <c r="D1" s="102"/>
      <c r="E1" s="102"/>
      <c r="F1" s="102"/>
      <c r="G1" s="102"/>
      <c r="H1" s="102"/>
      <c r="I1" s="102"/>
    </row>
    <row r="2" spans="1:10" ht="12.75">
      <c r="A2" s="67" t="s">
        <v>1</v>
      </c>
      <c r="B2" s="56"/>
      <c r="C2" s="46" t="s">
        <v>306</v>
      </c>
      <c r="D2" s="47"/>
      <c r="E2" s="55" t="s">
        <v>511</v>
      </c>
      <c r="F2" s="55" t="s">
        <v>516</v>
      </c>
      <c r="G2" s="56"/>
      <c r="H2" s="55" t="s">
        <v>573</v>
      </c>
      <c r="I2" s="103"/>
      <c r="J2" s="23"/>
    </row>
    <row r="3" spans="1:10" ht="12.75">
      <c r="A3" s="68"/>
      <c r="B3" s="58"/>
      <c r="C3" s="64"/>
      <c r="D3" s="64"/>
      <c r="E3" s="58"/>
      <c r="F3" s="58"/>
      <c r="G3" s="58"/>
      <c r="H3" s="58"/>
      <c r="I3" s="59"/>
      <c r="J3" s="23"/>
    </row>
    <row r="4" spans="1:10" ht="12.75">
      <c r="A4" s="62" t="s">
        <v>2</v>
      </c>
      <c r="B4" s="58"/>
      <c r="C4" s="53" t="s">
        <v>307</v>
      </c>
      <c r="D4" s="58"/>
      <c r="E4" s="53" t="s">
        <v>512</v>
      </c>
      <c r="F4" s="53" t="s">
        <v>517</v>
      </c>
      <c r="G4" s="58"/>
      <c r="H4" s="53" t="s">
        <v>573</v>
      </c>
      <c r="I4" s="98" t="s">
        <v>577</v>
      </c>
      <c r="J4" s="23"/>
    </row>
    <row r="5" spans="1:10" ht="12.75">
      <c r="A5" s="68"/>
      <c r="B5" s="58"/>
      <c r="C5" s="58"/>
      <c r="D5" s="58"/>
      <c r="E5" s="58"/>
      <c r="F5" s="58"/>
      <c r="G5" s="58"/>
      <c r="H5" s="58"/>
      <c r="I5" s="59"/>
      <c r="J5" s="23"/>
    </row>
    <row r="6" spans="1:10" ht="12.75">
      <c r="A6" s="62" t="s">
        <v>3</v>
      </c>
      <c r="B6" s="58"/>
      <c r="C6" s="53" t="s">
        <v>308</v>
      </c>
      <c r="D6" s="58"/>
      <c r="E6" s="53" t="s">
        <v>513</v>
      </c>
      <c r="F6" s="53" t="s">
        <v>518</v>
      </c>
      <c r="G6" s="58"/>
      <c r="H6" s="53" t="s">
        <v>573</v>
      </c>
      <c r="I6" s="98"/>
      <c r="J6" s="23"/>
    </row>
    <row r="7" spans="1:10" ht="12.75">
      <c r="A7" s="68"/>
      <c r="B7" s="58"/>
      <c r="C7" s="58"/>
      <c r="D7" s="58"/>
      <c r="E7" s="58"/>
      <c r="F7" s="58"/>
      <c r="G7" s="58"/>
      <c r="H7" s="58"/>
      <c r="I7" s="59"/>
      <c r="J7" s="23"/>
    </row>
    <row r="8" spans="1:10" ht="12.75">
      <c r="A8" s="62" t="s">
        <v>486</v>
      </c>
      <c r="B8" s="58"/>
      <c r="C8" s="61">
        <v>41396</v>
      </c>
      <c r="D8" s="58"/>
      <c r="E8" s="53" t="s">
        <v>487</v>
      </c>
      <c r="F8" s="61">
        <v>41639</v>
      </c>
      <c r="G8" s="58"/>
      <c r="H8" s="53" t="s">
        <v>574</v>
      </c>
      <c r="I8" s="98" t="s">
        <v>153</v>
      </c>
      <c r="J8" s="23"/>
    </row>
    <row r="9" spans="1:10" ht="12.75">
      <c r="A9" s="68"/>
      <c r="B9" s="58"/>
      <c r="C9" s="58"/>
      <c r="D9" s="58"/>
      <c r="E9" s="58"/>
      <c r="F9" s="58"/>
      <c r="G9" s="58"/>
      <c r="H9" s="58"/>
      <c r="I9" s="59"/>
      <c r="J9" s="23"/>
    </row>
    <row r="10" spans="1:10" ht="12.75">
      <c r="A10" s="62" t="s">
        <v>4</v>
      </c>
      <c r="B10" s="58"/>
      <c r="C10" s="53" t="s">
        <v>309</v>
      </c>
      <c r="D10" s="58"/>
      <c r="E10" s="53" t="s">
        <v>514</v>
      </c>
      <c r="F10" s="53" t="s">
        <v>519</v>
      </c>
      <c r="G10" s="58"/>
      <c r="H10" s="53" t="s">
        <v>575</v>
      </c>
      <c r="I10" s="99">
        <v>41306</v>
      </c>
      <c r="J10" s="23"/>
    </row>
    <row r="11" spans="1:10" ht="12.75">
      <c r="A11" s="97"/>
      <c r="B11" s="70"/>
      <c r="C11" s="70"/>
      <c r="D11" s="70"/>
      <c r="E11" s="70"/>
      <c r="F11" s="70"/>
      <c r="G11" s="70"/>
      <c r="H11" s="70"/>
      <c r="I11" s="100"/>
      <c r="J11" s="23"/>
    </row>
    <row r="12" spans="1:9" ht="23.25" customHeight="1">
      <c r="A12" s="93" t="s">
        <v>539</v>
      </c>
      <c r="B12" s="94"/>
      <c r="C12" s="94"/>
      <c r="D12" s="94"/>
      <c r="E12" s="94"/>
      <c r="F12" s="94"/>
      <c r="G12" s="94"/>
      <c r="H12" s="94"/>
      <c r="I12" s="94"/>
    </row>
    <row r="13" spans="1:10" ht="26.25" customHeight="1">
      <c r="A13" s="34" t="s">
        <v>540</v>
      </c>
      <c r="B13" s="95" t="s">
        <v>551</v>
      </c>
      <c r="C13" s="96"/>
      <c r="D13" s="34" t="s">
        <v>553</v>
      </c>
      <c r="E13" s="95" t="s">
        <v>561</v>
      </c>
      <c r="F13" s="96"/>
      <c r="G13" s="34" t="s">
        <v>562</v>
      </c>
      <c r="H13" s="95" t="s">
        <v>576</v>
      </c>
      <c r="I13" s="96"/>
      <c r="J13" s="23"/>
    </row>
    <row r="14" spans="1:10" ht="15" customHeight="1">
      <c r="A14" s="35" t="s">
        <v>541</v>
      </c>
      <c r="B14" s="39" t="s">
        <v>552</v>
      </c>
      <c r="C14" s="40"/>
      <c r="D14" s="91" t="s">
        <v>554</v>
      </c>
      <c r="E14" s="92"/>
      <c r="F14" s="40"/>
      <c r="G14" s="91" t="s">
        <v>563</v>
      </c>
      <c r="H14" s="92"/>
      <c r="I14" s="40"/>
      <c r="J14" s="23"/>
    </row>
    <row r="15" spans="1:10" ht="15" customHeight="1">
      <c r="A15" s="36"/>
      <c r="B15" s="39" t="s">
        <v>515</v>
      </c>
      <c r="C15" s="40"/>
      <c r="D15" s="91" t="s">
        <v>555</v>
      </c>
      <c r="E15" s="92"/>
      <c r="F15" s="40"/>
      <c r="G15" s="91" t="s">
        <v>564</v>
      </c>
      <c r="H15" s="92"/>
      <c r="I15" s="40"/>
      <c r="J15" s="23"/>
    </row>
    <row r="16" spans="1:10" ht="15" customHeight="1">
      <c r="A16" s="35" t="s">
        <v>542</v>
      </c>
      <c r="B16" s="39" t="s">
        <v>552</v>
      </c>
      <c r="C16" s="40"/>
      <c r="D16" s="91" t="s">
        <v>556</v>
      </c>
      <c r="E16" s="92"/>
      <c r="F16" s="40"/>
      <c r="G16" s="91" t="s">
        <v>565</v>
      </c>
      <c r="H16" s="92"/>
      <c r="I16" s="40"/>
      <c r="J16" s="23"/>
    </row>
    <row r="17" spans="1:10" ht="15" customHeight="1">
      <c r="A17" s="36"/>
      <c r="B17" s="39" t="s">
        <v>515</v>
      </c>
      <c r="C17" s="40"/>
      <c r="D17" s="91"/>
      <c r="E17" s="92"/>
      <c r="F17" s="43"/>
      <c r="G17" s="91" t="s">
        <v>566</v>
      </c>
      <c r="H17" s="92"/>
      <c r="I17" s="40"/>
      <c r="J17" s="23"/>
    </row>
    <row r="18" spans="1:10" ht="15" customHeight="1">
      <c r="A18" s="35" t="s">
        <v>543</v>
      </c>
      <c r="B18" s="39" t="s">
        <v>552</v>
      </c>
      <c r="C18" s="40"/>
      <c r="D18" s="91"/>
      <c r="E18" s="92"/>
      <c r="F18" s="43"/>
      <c r="G18" s="91" t="s">
        <v>567</v>
      </c>
      <c r="H18" s="92"/>
      <c r="I18" s="40"/>
      <c r="J18" s="23"/>
    </row>
    <row r="19" spans="1:10" ht="15" customHeight="1">
      <c r="A19" s="36"/>
      <c r="B19" s="39" t="s">
        <v>515</v>
      </c>
      <c r="C19" s="40"/>
      <c r="D19" s="91"/>
      <c r="E19" s="92"/>
      <c r="F19" s="43"/>
      <c r="G19" s="91" t="s">
        <v>568</v>
      </c>
      <c r="H19" s="92"/>
      <c r="I19" s="40"/>
      <c r="J19" s="23"/>
    </row>
    <row r="20" spans="1:10" ht="15" customHeight="1">
      <c r="A20" s="87" t="s">
        <v>453</v>
      </c>
      <c r="B20" s="88"/>
      <c r="C20" s="40"/>
      <c r="D20" s="91"/>
      <c r="E20" s="92"/>
      <c r="F20" s="43"/>
      <c r="G20" s="91"/>
      <c r="H20" s="92"/>
      <c r="I20" s="43"/>
      <c r="J20" s="23"/>
    </row>
    <row r="21" spans="1:10" ht="15" customHeight="1">
      <c r="A21" s="87" t="s">
        <v>544</v>
      </c>
      <c r="B21" s="88"/>
      <c r="C21" s="40"/>
      <c r="D21" s="91"/>
      <c r="E21" s="92"/>
      <c r="F21" s="43"/>
      <c r="G21" s="91"/>
      <c r="H21" s="92"/>
      <c r="I21" s="43"/>
      <c r="J21" s="23"/>
    </row>
    <row r="22" spans="1:10" ht="16.5" customHeight="1">
      <c r="A22" s="87" t="s">
        <v>545</v>
      </c>
      <c r="B22" s="88"/>
      <c r="C22" s="40"/>
      <c r="D22" s="87" t="s">
        <v>557</v>
      </c>
      <c r="E22" s="88"/>
      <c r="F22" s="40"/>
      <c r="G22" s="87" t="s">
        <v>569</v>
      </c>
      <c r="H22" s="88"/>
      <c r="I22" s="40"/>
      <c r="J22" s="23"/>
    </row>
    <row r="23" spans="1:9" ht="12.75">
      <c r="A23" s="37"/>
      <c r="B23" s="37"/>
      <c r="C23" s="37"/>
      <c r="D23" s="7"/>
      <c r="E23" s="7"/>
      <c r="F23" s="7"/>
      <c r="G23" s="7"/>
      <c r="H23" s="7"/>
      <c r="I23" s="7"/>
    </row>
    <row r="24" spans="1:9" ht="15" customHeight="1">
      <c r="A24" s="89" t="s">
        <v>546</v>
      </c>
      <c r="B24" s="90"/>
      <c r="C24" s="41"/>
      <c r="D24" s="42"/>
      <c r="E24" s="17"/>
      <c r="F24" s="17"/>
      <c r="G24" s="17"/>
      <c r="H24" s="17"/>
      <c r="I24" s="17"/>
    </row>
    <row r="25" spans="1:10" ht="15" customHeight="1">
      <c r="A25" s="89" t="s">
        <v>547</v>
      </c>
      <c r="B25" s="90"/>
      <c r="C25" s="41"/>
      <c r="D25" s="89" t="s">
        <v>558</v>
      </c>
      <c r="E25" s="90"/>
      <c r="F25" s="41"/>
      <c r="G25" s="89" t="s">
        <v>570</v>
      </c>
      <c r="H25" s="90"/>
      <c r="I25" s="41"/>
      <c r="J25" s="23"/>
    </row>
    <row r="26" spans="1:10" ht="15" customHeight="1">
      <c r="A26" s="89" t="s">
        <v>548</v>
      </c>
      <c r="B26" s="90"/>
      <c r="C26" s="41"/>
      <c r="D26" s="89" t="s">
        <v>559</v>
      </c>
      <c r="E26" s="90"/>
      <c r="F26" s="41"/>
      <c r="G26" s="89" t="s">
        <v>571</v>
      </c>
      <c r="H26" s="90"/>
      <c r="I26" s="41"/>
      <c r="J26" s="23"/>
    </row>
    <row r="27" spans="1:9" ht="12.75">
      <c r="A27" s="38"/>
      <c r="B27" s="38"/>
      <c r="C27" s="38"/>
      <c r="D27" s="38"/>
      <c r="E27" s="38"/>
      <c r="F27" s="38"/>
      <c r="G27" s="38"/>
      <c r="H27" s="38"/>
      <c r="I27" s="38"/>
    </row>
    <row r="28" spans="1:10" ht="14.25" customHeight="1">
      <c r="A28" s="81" t="s">
        <v>549</v>
      </c>
      <c r="B28" s="82"/>
      <c r="C28" s="83"/>
      <c r="D28" s="81" t="s">
        <v>560</v>
      </c>
      <c r="E28" s="82"/>
      <c r="F28" s="83"/>
      <c r="G28" s="81" t="s">
        <v>572</v>
      </c>
      <c r="H28" s="82"/>
      <c r="I28" s="83"/>
      <c r="J28" s="24"/>
    </row>
    <row r="29" spans="1:10" ht="14.25" customHeight="1">
      <c r="A29" s="84"/>
      <c r="B29" s="85"/>
      <c r="C29" s="86"/>
      <c r="D29" s="84"/>
      <c r="E29" s="85"/>
      <c r="F29" s="86"/>
      <c r="G29" s="84"/>
      <c r="H29" s="85"/>
      <c r="I29" s="86"/>
      <c r="J29" s="24"/>
    </row>
    <row r="30" spans="1:10" ht="14.25" customHeight="1">
      <c r="A30" s="84"/>
      <c r="B30" s="85"/>
      <c r="C30" s="86"/>
      <c r="D30" s="84"/>
      <c r="E30" s="85"/>
      <c r="F30" s="86"/>
      <c r="G30" s="84"/>
      <c r="H30" s="85"/>
      <c r="I30" s="86"/>
      <c r="J30" s="24"/>
    </row>
    <row r="31" spans="1:10" ht="14.25" customHeight="1">
      <c r="A31" s="84"/>
      <c r="B31" s="85"/>
      <c r="C31" s="86"/>
      <c r="D31" s="84"/>
      <c r="E31" s="85"/>
      <c r="F31" s="86"/>
      <c r="G31" s="84"/>
      <c r="H31" s="85"/>
      <c r="I31" s="86"/>
      <c r="J31" s="24"/>
    </row>
    <row r="32" spans="1:10" ht="14.25" customHeight="1">
      <c r="A32" s="78" t="s">
        <v>550</v>
      </c>
      <c r="B32" s="79"/>
      <c r="C32" s="80"/>
      <c r="D32" s="78" t="s">
        <v>550</v>
      </c>
      <c r="E32" s="79"/>
      <c r="F32" s="80"/>
      <c r="G32" s="78" t="s">
        <v>550</v>
      </c>
      <c r="H32" s="79"/>
      <c r="I32" s="80"/>
      <c r="J32" s="24"/>
    </row>
    <row r="33" spans="1:9" ht="12.75">
      <c r="A33" s="31"/>
      <c r="B33" s="31"/>
      <c r="C33" s="31"/>
      <c r="D33" s="31"/>
      <c r="E33" s="31"/>
      <c r="F33" s="31"/>
      <c r="G33" s="31"/>
      <c r="H33" s="31"/>
      <c r="I33" s="31"/>
    </row>
  </sheetData>
  <sheetProtection/>
  <mergeCells count="78">
    <mergeCell ref="H4:H5"/>
    <mergeCell ref="H6:H7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E2:E3"/>
    <mergeCell ref="I2:I3"/>
    <mergeCell ref="I4:I5"/>
    <mergeCell ref="I6:I7"/>
    <mergeCell ref="I8:I9"/>
    <mergeCell ref="I10:I11"/>
    <mergeCell ref="E8:E9"/>
    <mergeCell ref="E10:E11"/>
    <mergeCell ref="F2:G3"/>
    <mergeCell ref="F4:G5"/>
    <mergeCell ref="F6:G7"/>
    <mergeCell ref="E4:E5"/>
    <mergeCell ref="E6:E7"/>
    <mergeCell ref="H2:H3"/>
    <mergeCell ref="A12:I12"/>
    <mergeCell ref="B13:C13"/>
    <mergeCell ref="E13:F13"/>
    <mergeCell ref="H13:I13"/>
    <mergeCell ref="H8:H9"/>
    <mergeCell ref="H10:H11"/>
    <mergeCell ref="F8:G9"/>
    <mergeCell ref="F10:G11"/>
    <mergeCell ref="A8:B9"/>
    <mergeCell ref="A10:B11"/>
    <mergeCell ref="D14:E14"/>
    <mergeCell ref="D15:E15"/>
    <mergeCell ref="D16:E16"/>
    <mergeCell ref="D17:E17"/>
    <mergeCell ref="D18:E18"/>
    <mergeCell ref="D19:E19"/>
    <mergeCell ref="G19:H19"/>
    <mergeCell ref="G20:H20"/>
    <mergeCell ref="G21:H21"/>
    <mergeCell ref="A20:B20"/>
    <mergeCell ref="A21:B21"/>
    <mergeCell ref="A22:B22"/>
    <mergeCell ref="D20:E20"/>
    <mergeCell ref="D26:E26"/>
    <mergeCell ref="G25:H25"/>
    <mergeCell ref="G26:H26"/>
    <mergeCell ref="D21:E21"/>
    <mergeCell ref="D22:E22"/>
    <mergeCell ref="G14:H14"/>
    <mergeCell ref="G15:H15"/>
    <mergeCell ref="G16:H16"/>
    <mergeCell ref="G17:H17"/>
    <mergeCell ref="G18:H18"/>
    <mergeCell ref="D32:F32"/>
    <mergeCell ref="A28:C28"/>
    <mergeCell ref="A29:C29"/>
    <mergeCell ref="A30:C30"/>
    <mergeCell ref="A31:C31"/>
    <mergeCell ref="G22:H22"/>
    <mergeCell ref="A24:B24"/>
    <mergeCell ref="A25:B25"/>
    <mergeCell ref="A26:B26"/>
    <mergeCell ref="D25:E25"/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Projekty</cp:lastModifiedBy>
  <dcterms:created xsi:type="dcterms:W3CDTF">2013-02-09T08:03:14Z</dcterms:created>
  <dcterms:modified xsi:type="dcterms:W3CDTF">2013-03-12T09:21:44Z</dcterms:modified>
  <cp:category/>
  <cp:version/>
  <cp:contentType/>
  <cp:contentStatus/>
</cp:coreProperties>
</file>