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Rozpočet - Jen objekty celkem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<sst xmlns="http://schemas.openxmlformats.org/spreadsheetml/2006/main" count="326" uniqueCount="177">
  <si>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</si>
  <si>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</si>
  <si>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</si>
  <si>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</si>
  <si>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</si>
  <si>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</si>
  <si>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</si>
  <si>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</si>
  <si>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</si>
  <si>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</si>
  <si>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</si>
  <si>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</si>
  <si>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</si>
  <si>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</si>
  <si>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</si>
  <si>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</si>
  <si>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</si>
  <si>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</si>
  <si>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</si>
  <si>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</si>
  <si>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</si>
  <si>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</si>
  <si>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</si>
  <si>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</si>
  <si>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</si>
  <si>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</si>
  <si>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</si>
  <si>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</si>
  <si>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</si>
  <si>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</si>
  <si>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Objekt</t>
  </si>
  <si>
    <t>01</t>
  </si>
  <si>
    <t>02</t>
  </si>
  <si>
    <t>Kód</t>
  </si>
  <si>
    <t>62</t>
  </si>
  <si>
    <t>622421408RU5</t>
  </si>
  <si>
    <t>622421308RU5</t>
  </si>
  <si>
    <t>622319124RU1</t>
  </si>
  <si>
    <t>622311954RT3</t>
  </si>
  <si>
    <t>713</t>
  </si>
  <si>
    <t>713181113R00</t>
  </si>
  <si>
    <t>76601</t>
  </si>
  <si>
    <t>766670022RAC</t>
  </si>
  <si>
    <t>766670020RA0</t>
  </si>
  <si>
    <t>766670032RAC</t>
  </si>
  <si>
    <t>241-03VD</t>
  </si>
  <si>
    <t>241-04VD</t>
  </si>
  <si>
    <t>775</t>
  </si>
  <si>
    <t>775524270R00</t>
  </si>
  <si>
    <t>998762102R00</t>
  </si>
  <si>
    <t>60510446</t>
  </si>
  <si>
    <t>60510058</t>
  </si>
  <si>
    <t>783</t>
  </si>
  <si>
    <t>783782205R00</t>
  </si>
  <si>
    <t>94</t>
  </si>
  <si>
    <t>941941052R00</t>
  </si>
  <si>
    <t>941941852R00</t>
  </si>
  <si>
    <t>943955191R00</t>
  </si>
  <si>
    <t>69310658</t>
  </si>
  <si>
    <t>Stavební úprava (cenová soustava RTS,a.s.)</t>
  </si>
  <si>
    <t>Snížení energetické náročnosti budovy ZŠ Domanín</t>
  </si>
  <si>
    <t>k.ú. Domanín</t>
  </si>
  <si>
    <t>80132</t>
  </si>
  <si>
    <t>Zkrácený popis</t>
  </si>
  <si>
    <t>Zateplení objektů</t>
  </si>
  <si>
    <t>Úprava povrchů vnější</t>
  </si>
  <si>
    <t>KZS tl. 120 mm min. vata (fasáda - ETICS)</t>
  </si>
  <si>
    <t>KZS tl.120 mm šedý (fasáda - ETICS)</t>
  </si>
  <si>
    <t>KZS tl. 100 mm nenasákavý (sokl - ETICS)</t>
  </si>
  <si>
    <t>KZS tl. 30 mm šedý (ostění - ETICS)</t>
  </si>
  <si>
    <t>Izolace tepelné</t>
  </si>
  <si>
    <t>Izolace miner. foukaná do podstřeší střechy - 240 mm (F-05)</t>
  </si>
  <si>
    <t>Otvorové prvky</t>
  </si>
  <si>
    <t>Okno plastové vč. parapetů - T1</t>
  </si>
  <si>
    <t>Okno plastové  vč. parapetů - T2</t>
  </si>
  <si>
    <t>Okno plastové vč. parapetů  - T3</t>
  </si>
  <si>
    <t>Okno plastové vč. parapetů  - T4</t>
  </si>
  <si>
    <t>Okno plastové vč. parapetů  - T5</t>
  </si>
  <si>
    <t>Dveře  plastové s nadsvětlíkem  - T6</t>
  </si>
  <si>
    <t>Dveře  plastové  s nadsvětlíkem - T7</t>
  </si>
  <si>
    <t>Demontáž vč. likvidace stávajících otv. prvků (F-07)</t>
  </si>
  <si>
    <t>Montáž nových otvorových prvků (F-07)</t>
  </si>
  <si>
    <t>Stav. práce - ostatní</t>
  </si>
  <si>
    <t>Pochůzná lávka</t>
  </si>
  <si>
    <t>Montáž fošen přibíjených širokých (lávka+zábr.)</t>
  </si>
  <si>
    <t>Přesun hmot pro tesařské konstrukce, výšky do 12 m</t>
  </si>
  <si>
    <t>Fošna SM/JD neom.II jak. tl.5 dl.400-600 š.-  16</t>
  </si>
  <si>
    <t>Lať profil dřevěný 80/60 mm l = 3 m a výše</t>
  </si>
  <si>
    <t>Nátěry</t>
  </si>
  <si>
    <t>Nátěr tesařských konstrukcí Bochemitem QB 2x</t>
  </si>
  <si>
    <t>Lešení</t>
  </si>
  <si>
    <t>Montáž lešení leh.řad.s podlahami,š.1,5 m, H 24 m</t>
  </si>
  <si>
    <t>Demontáž lešení leh.řad.s podlahami,š.1,5 m,H 24 m</t>
  </si>
  <si>
    <t>Příplatek za každý měsíc použití leš.k pol.21až 41</t>
  </si>
  <si>
    <t>Ostatní materiál</t>
  </si>
  <si>
    <t>Geotextilie  š. 200 cm (F-05)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</si>
  <si>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</si>
  <si>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</si>
  <si>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</si>
  <si>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</si>
  <si>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</si>
  <si>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</si>
  <si>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</si>
  <si>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kus</t>
  </si>
  <si>
    <t>t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</si>
  <si>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</si>
  <si>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</si>
  <si>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</si>
  <si>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</si>
  <si>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</si>
  <si>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</si>
  <si>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</si>
  <si>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</si>
  <si>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</si>
  <si>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</si>
  <si>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</si>
  <si>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</si>
  <si>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OÚ Domanín</t>
  </si>
  <si>
    <t>STAVO-NEF, s.r.o.</t>
  </si>
  <si>
    <t>výběrové řízení</t>
  </si>
  <si>
    <t>Ing. Nejezchleba</t>
  </si>
  <si>
    <t>Celkem</t>
  </si>
  <si>
    <t>Hmotnost (t)</t>
  </si>
  <si>
    <t>0</t>
  </si>
  <si>
    <t>Přesuny</t>
  </si>
  <si>
    <t>Typ skupiny</t>
  </si>
  <si>
    <t>HS</t>
  </si>
  <si>
    <t>PS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</si>
  <si>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</si>
  <si>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</si>
  <si>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</si>
  <si>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</si>
  <si>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</si>
  <si>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</si>
  <si>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</si>
  <si>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</si>
  <si>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T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</si>
  <si>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</si>
  <si>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</si>
  <si>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</si>
  <si>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</si>
  <si>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</si>
  <si>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</si>
  <si>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</si>
  <si>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</si>
  <si>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</si>
  <si>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</si>
  <si>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</si>
  <si>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</si>
  <si>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</si>
  <si>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</si>
  <si>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</si>
  <si>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</si>
  <si>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</si>
  <si>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</si>
  <si>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</si>
  <si>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</si>
  <si>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</si>
  <si>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</si>
  <si>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</si>
  <si>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</si>
  <si>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</si>
  <si>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</si>
  <si>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</si>
  <si>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</si>
  <si>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</si>
  <si>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</si>
  <si>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</si>
  <si>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</si>
  <si>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</si>
  <si>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</si>
  <si>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</si>
  <si>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</si>
  <si>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</si>
  <si>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</si>
  <si>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</si>
  <si>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29213495/CZ29213495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</si>
</sst>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right" vertical="center"/>
      <protection/>
    </xf>
    <xf numFmtId="0" fontId="7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left" vertical="center"/>
      <protection/>
    </xf>
    <xf numFmtId="0" fontId="7" fillId="33" borderId="28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left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A1">
      <selection activeCell="C32" sqref="C32:C35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56"/>
      <c r="C2" s="56"/>
      <c r="D2" s="46" t="s">
        <v>59</v>
      </c>
      <c r="E2" s="55" t="s">
        <v>96</v>
      </c>
      <c r="F2" s="56"/>
      <c r="G2" s="55"/>
      <c r="H2" s="56"/>
      <c r="I2" s="55" t="s">
        <v>112</v>
      </c>
      <c r="J2" s="55" t="s">
        <v>117</v>
      </c>
      <c r="K2" s="56"/>
      <c r="L2" s="57"/>
      <c r="M2" s="23"/>
    </row>
    <row r="3" spans="1:13" ht="12.75">
      <c r="A3" s="68"/>
      <c r="B3" s="58"/>
      <c r="C3" s="58"/>
      <c r="D3" s="64"/>
      <c r="E3" s="58"/>
      <c r="F3" s="58"/>
      <c r="G3" s="58"/>
      <c r="H3" s="58"/>
      <c r="I3" s="58"/>
      <c r="J3" s="58"/>
      <c r="K3" s="58"/>
      <c r="L3" s="59"/>
      <c r="M3" s="23"/>
    </row>
    <row r="4" spans="1:13" ht="12.75">
      <c r="A4" s="62" t="s">
        <v>2</v>
      </c>
      <c r="B4" s="58"/>
      <c r="C4" s="58"/>
      <c r="D4" s="53" t="s">
        <v>60</v>
      </c>
      <c r="E4" s="53" t="s">
        <v>97</v>
      </c>
      <c r="F4" s="58"/>
      <c r="G4" s="61">
        <v>41428</v>
      </c>
      <c r="H4" s="58"/>
      <c r="I4" s="53" t="s">
        <v>113</v>
      </c>
      <c r="J4" s="53" t="s">
        <v>118</v>
      </c>
      <c r="K4" s="58"/>
      <c r="L4" s="59"/>
      <c r="M4" s="23"/>
    </row>
    <row r="5" spans="1:13" ht="12.75">
      <c r="A5" s="6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3"/>
    </row>
    <row r="6" spans="1:13" ht="12.75">
      <c r="A6" s="62" t="s">
        <v>3</v>
      </c>
      <c r="B6" s="58"/>
      <c r="C6" s="58"/>
      <c r="D6" s="53" t="s">
        <v>61</v>
      </c>
      <c r="E6" s="53" t="s">
        <v>98</v>
      </c>
      <c r="F6" s="58"/>
      <c r="G6" s="58"/>
      <c r="H6" s="58"/>
      <c r="I6" s="53" t="s">
        <v>114</v>
      </c>
      <c r="J6" s="53" t="s">
        <v>119</v>
      </c>
      <c r="K6" s="58"/>
      <c r="L6" s="59"/>
      <c r="M6" s="23"/>
    </row>
    <row r="7" spans="1:13" ht="12.75">
      <c r="A7" s="6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3"/>
    </row>
    <row r="8" spans="1:13" ht="12.75">
      <c r="A8" s="62" t="s">
        <v>4</v>
      </c>
      <c r="B8" s="58"/>
      <c r="C8" s="58"/>
      <c r="D8" s="53" t="s">
        <v>62</v>
      </c>
      <c r="E8" s="53" t="s">
        <v>99</v>
      </c>
      <c r="F8" s="58"/>
      <c r="G8" s="61">
        <v>41309</v>
      </c>
      <c r="H8" s="58"/>
      <c r="I8" s="53" t="s">
        <v>115</v>
      </c>
      <c r="J8" s="53" t="s">
        <v>120</v>
      </c>
      <c r="K8" s="58"/>
      <c r="L8" s="59"/>
      <c r="M8" s="23"/>
    </row>
    <row r="9" spans="1:13" ht="12.75">
      <c r="A9" s="63"/>
      <c r="B9" s="54"/>
      <c r="C9" s="54"/>
      <c r="D9" s="54"/>
      <c r="E9" s="54"/>
      <c r="F9" s="54"/>
      <c r="G9" s="54"/>
      <c r="H9" s="54"/>
      <c r="I9" s="54"/>
      <c r="J9" s="54"/>
      <c r="K9" s="54"/>
      <c r="L9" s="60"/>
      <c r="M9" s="23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107</v>
      </c>
      <c r="H10" s="48" t="s">
        <v>109</v>
      </c>
      <c r="I10" s="49"/>
      <c r="J10" s="50"/>
      <c r="K10" s="48" t="s">
        <v>122</v>
      </c>
      <c r="L10" s="50"/>
      <c r="M10" s="24"/>
    </row>
    <row r="11" spans="1:24" ht="12.75">
      <c r="A11" s="2" t="s">
        <v>6</v>
      </c>
      <c r="B11" s="9" t="s">
        <v>30</v>
      </c>
      <c r="C11" s="9" t="s">
        <v>33</v>
      </c>
      <c r="D11" s="9" t="s">
        <v>63</v>
      </c>
      <c r="E11" s="9" t="s">
        <v>100</v>
      </c>
      <c r="F11" s="12" t="s">
        <v>106</v>
      </c>
      <c r="G11" s="16" t="s">
        <v>108</v>
      </c>
      <c r="H11" s="18" t="s">
        <v>110</v>
      </c>
      <c r="I11" s="19" t="s">
        <v>116</v>
      </c>
      <c r="J11" s="20" t="s">
        <v>121</v>
      </c>
      <c r="K11" s="18" t="s">
        <v>107</v>
      </c>
      <c r="L11" s="20" t="s">
        <v>121</v>
      </c>
      <c r="M11" s="24"/>
      <c r="P11" s="22" t="s">
        <v>124</v>
      </c>
      <c r="Q11" s="22" t="s">
        <v>125</v>
      </c>
      <c r="R11" s="22" t="s">
        <v>129</v>
      </c>
      <c r="S11" s="22" t="s">
        <v>130</v>
      </c>
      <c r="T11" s="22" t="s">
        <v>131</v>
      </c>
      <c r="U11" s="22" t="s">
        <v>132</v>
      </c>
      <c r="V11" s="22" t="s">
        <v>133</v>
      </c>
      <c r="W11" s="22" t="s">
        <v>134</v>
      </c>
      <c r="X11" s="22" t="s">
        <v>135</v>
      </c>
    </row>
    <row r="12" spans="1:12" ht="12.75">
      <c r="A12" s="3"/>
      <c r="B12" s="3"/>
      <c r="C12" s="10"/>
      <c r="D12" s="51" t="s">
        <v>64</v>
      </c>
      <c r="E12" s="52"/>
      <c r="F12" s="52"/>
      <c r="G12" s="52"/>
      <c r="H12" s="26">
        <f>H13+H18+H20</f>
        <v>0</v>
      </c>
      <c r="I12" s="26">
        <f>I13+I18+I20</f>
        <v>0</v>
      </c>
      <c r="J12" s="26">
        <f>H12+I12</f>
        <v>0</v>
      </c>
      <c r="K12" s="21"/>
      <c r="L12" s="26">
        <f>L13+L18+L20</f>
        <v>27.797736</v>
      </c>
    </row>
    <row r="13" spans="1:37" ht="12.75">
      <c r="A13" s="4"/>
      <c r="B13" s="4"/>
      <c r="C13" s="11" t="s">
        <v>34</v>
      </c>
      <c r="D13" s="44" t="s">
        <v>65</v>
      </c>
      <c r="E13" s="45"/>
      <c r="F13" s="45"/>
      <c r="G13" s="45"/>
      <c r="H13" s="27">
        <f>SUM(H14:H17)</f>
        <v>0</v>
      </c>
      <c r="I13" s="27">
        <f>SUM(I14:I17)</f>
        <v>0</v>
      </c>
      <c r="J13" s="27">
        <f>H13+I13</f>
        <v>0</v>
      </c>
      <c r="K13" s="22"/>
      <c r="L13" s="27">
        <f>SUM(L14:L17)</f>
        <v>5.465596</v>
      </c>
      <c r="P13" s="27">
        <f>IF(Q13="PR",J13,SUM(O14:O17))</f>
        <v>0</v>
      </c>
      <c r="Q13" s="22" t="s">
        <v>126</v>
      </c>
      <c r="R13" s="27">
        <f>IF(Q13="HS",H13,0)</f>
        <v>0</v>
      </c>
      <c r="S13" s="27">
        <f>IF(Q13="HS",I13-P13,0)</f>
        <v>0</v>
      </c>
      <c r="T13" s="27">
        <f>IF(Q13="PS",H13,0)</f>
        <v>0</v>
      </c>
      <c r="U13" s="27">
        <f>IF(Q13="PS",I13-P13,0)</f>
        <v>0</v>
      </c>
      <c r="V13" s="27">
        <f>IF(Q13="MP",H13,0)</f>
        <v>0</v>
      </c>
      <c r="W13" s="27">
        <f>IF(Q13="MP",I13-P13,0)</f>
        <v>0</v>
      </c>
      <c r="X13" s="27">
        <f>IF(Q13="OM",H13,0)</f>
        <v>0</v>
      </c>
      <c r="Y13" s="22" t="s">
        <v>31</v>
      </c>
      <c r="AI13" s="27">
        <f>SUM(Z14:Z17)</f>
        <v>0</v>
      </c>
      <c r="AJ13" s="27">
        <f>SUM(AA14:AA17)</f>
        <v>0</v>
      </c>
      <c r="AK13" s="27">
        <f>SUM(AB14:AB17)</f>
        <v>0</v>
      </c>
    </row>
    <row r="14" spans="1:32" ht="12.75">
      <c r="A14" s="5" t="s">
        <v>7</v>
      </c>
      <c r="B14" s="5" t="s">
        <v>31</v>
      </c>
      <c r="C14" s="104" t="s">
        <v>35</v>
      </c>
      <c r="D14" s="5" t="s">
        <v>66</v>
      </c>
      <c r="E14" s="5" t="s">
        <v>101</v>
      </c>
      <c r="F14" s="13">
        <v>20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0.04335</v>
      </c>
      <c r="L14" s="13">
        <f>F14*K14</f>
        <v>0.867</v>
      </c>
      <c r="N14" s="25" t="s">
        <v>7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G14*0.703602227811714</f>
        <v>0</v>
      </c>
      <c r="AF14" s="13">
        <f>G14*(1-0.703602227811714)</f>
        <v>0</v>
      </c>
    </row>
    <row r="15" spans="1:32" ht="12.75">
      <c r="A15" s="5" t="s">
        <v>8</v>
      </c>
      <c r="B15" s="5" t="s">
        <v>31</v>
      </c>
      <c r="C15" s="104" t="s">
        <v>36</v>
      </c>
      <c r="D15" s="5" t="s">
        <v>67</v>
      </c>
      <c r="E15" s="5" t="s">
        <v>101</v>
      </c>
      <c r="F15" s="13">
        <v>226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0.0129</v>
      </c>
      <c r="L15" s="13">
        <f>F15*K15</f>
        <v>2.9154</v>
      </c>
      <c r="N15" s="25" t="s">
        <v>7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13">
        <v>21</v>
      </c>
      <c r="AE15" s="13">
        <f>G15*0.467599236166823</f>
        <v>0</v>
      </c>
      <c r="AF15" s="13">
        <f>G15*(1-0.467599236166823)</f>
        <v>0</v>
      </c>
    </row>
    <row r="16" spans="1:32" ht="12.75">
      <c r="A16" s="5" t="s">
        <v>9</v>
      </c>
      <c r="B16" s="5" t="s">
        <v>31</v>
      </c>
      <c r="C16" s="104" t="s">
        <v>37</v>
      </c>
      <c r="D16" s="5" t="s">
        <v>68</v>
      </c>
      <c r="E16" s="5" t="s">
        <v>101</v>
      </c>
      <c r="F16" s="13">
        <v>39.7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0.01888</v>
      </c>
      <c r="L16" s="13">
        <f>F16*K16</f>
        <v>0.7495360000000001</v>
      </c>
      <c r="N16" s="25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13">
        <v>21</v>
      </c>
      <c r="AE16" s="13">
        <f>G16*0.735303461905044</f>
        <v>0</v>
      </c>
      <c r="AF16" s="13">
        <f>G16*(1-0.735303461905044)</f>
        <v>0</v>
      </c>
    </row>
    <row r="17" spans="1:32" ht="12.75">
      <c r="A17" s="5" t="s">
        <v>10</v>
      </c>
      <c r="B17" s="5" t="s">
        <v>31</v>
      </c>
      <c r="C17" s="104" t="s">
        <v>38</v>
      </c>
      <c r="D17" s="5" t="s">
        <v>69</v>
      </c>
      <c r="E17" s="5" t="s">
        <v>101</v>
      </c>
      <c r="F17" s="13">
        <v>42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0.02223</v>
      </c>
      <c r="L17" s="13">
        <f>F17*K17</f>
        <v>0.9336599999999999</v>
      </c>
      <c r="N17" s="25" t="s">
        <v>7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13">
        <v>21</v>
      </c>
      <c r="AE17" s="13">
        <f>G17*0.612978297342642</f>
        <v>0</v>
      </c>
      <c r="AF17" s="13">
        <f>G17*(1-0.612978297342642)</f>
        <v>0</v>
      </c>
    </row>
    <row r="18" spans="1:37" ht="12.75">
      <c r="A18" s="4"/>
      <c r="B18" s="4"/>
      <c r="C18" s="11" t="s">
        <v>39</v>
      </c>
      <c r="D18" s="44" t="s">
        <v>70</v>
      </c>
      <c r="E18" s="45"/>
      <c r="F18" s="45"/>
      <c r="G18" s="45"/>
      <c r="H18" s="27">
        <f>SUM(H19:H19)</f>
        <v>0</v>
      </c>
      <c r="I18" s="27">
        <f>SUM(I19:I19)</f>
        <v>0</v>
      </c>
      <c r="J18" s="27">
        <f>H18+I18</f>
        <v>0</v>
      </c>
      <c r="K18" s="22"/>
      <c r="L18" s="27">
        <f>SUM(L19:L19)</f>
        <v>20.895</v>
      </c>
      <c r="P18" s="27">
        <f>IF(Q18="PR",J18,SUM(O19:O19))</f>
        <v>0</v>
      </c>
      <c r="Q18" s="22" t="s">
        <v>127</v>
      </c>
      <c r="R18" s="27">
        <f>IF(Q18="HS",H18,0)</f>
        <v>0</v>
      </c>
      <c r="S18" s="27">
        <f>IF(Q18="HS",I18-P18,0)</f>
        <v>0</v>
      </c>
      <c r="T18" s="27">
        <f>IF(Q18="PS",H18,0)</f>
        <v>0</v>
      </c>
      <c r="U18" s="27">
        <f>IF(Q18="PS",I18-P18,0)</f>
        <v>0</v>
      </c>
      <c r="V18" s="27">
        <f>IF(Q18="MP",H18,0)</f>
        <v>0</v>
      </c>
      <c r="W18" s="27">
        <f>IF(Q18="MP",I18-P18,0)</f>
        <v>0</v>
      </c>
      <c r="X18" s="27">
        <f>IF(Q18="OM",H18,0)</f>
        <v>0</v>
      </c>
      <c r="Y18" s="22" t="s">
        <v>31</v>
      </c>
      <c r="AI18" s="27">
        <f>SUM(Z19:Z19)</f>
        <v>0</v>
      </c>
      <c r="AJ18" s="27">
        <f>SUM(AA19:AA19)</f>
        <v>0</v>
      </c>
      <c r="AK18" s="27">
        <f>SUM(AB19:AB19)</f>
        <v>0</v>
      </c>
    </row>
    <row r="19" spans="1:32" ht="12.75">
      <c r="A19" s="5" t="s">
        <v>11</v>
      </c>
      <c r="B19" s="5" t="s">
        <v>31</v>
      </c>
      <c r="C19" s="104" t="s">
        <v>40</v>
      </c>
      <c r="D19" s="5" t="s">
        <v>71</v>
      </c>
      <c r="E19" s="5" t="s">
        <v>102</v>
      </c>
      <c r="F19" s="13">
        <v>417.9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0.05</v>
      </c>
      <c r="L19" s="13">
        <f>F19*K19</f>
        <v>20.895</v>
      </c>
      <c r="N19" s="25" t="s">
        <v>7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13">
        <v>21</v>
      </c>
      <c r="AE19" s="13">
        <f>G19*0.471309060916696</f>
        <v>0</v>
      </c>
      <c r="AF19" s="13">
        <f>G19*(1-0.471309060916696)</f>
        <v>0</v>
      </c>
    </row>
    <row r="20" spans="1:37" ht="12.75">
      <c r="A20" s="4"/>
      <c r="B20" s="4"/>
      <c r="C20" s="11" t="s">
        <v>41</v>
      </c>
      <c r="D20" s="44" t="s">
        <v>72</v>
      </c>
      <c r="E20" s="45"/>
      <c r="F20" s="45"/>
      <c r="G20" s="45"/>
      <c r="H20" s="27">
        <f>SUM(H21:H29)</f>
        <v>0</v>
      </c>
      <c r="I20" s="27">
        <f>SUM(I21:I29)</f>
        <v>0</v>
      </c>
      <c r="J20" s="27">
        <f>H20+I20</f>
        <v>0</v>
      </c>
      <c r="K20" s="22"/>
      <c r="L20" s="27">
        <f>SUM(L21:L29)</f>
        <v>1.4371399999999999</v>
      </c>
      <c r="P20" s="27">
        <f>IF(Q20="PR",J20,SUM(O21:O29))</f>
        <v>0</v>
      </c>
      <c r="Q20" s="22" t="s">
        <v>127</v>
      </c>
      <c r="R20" s="27">
        <f>IF(Q20="HS",H20,0)</f>
        <v>0</v>
      </c>
      <c r="S20" s="27">
        <f>IF(Q20="HS",I20-P20,0)</f>
        <v>0</v>
      </c>
      <c r="T20" s="27">
        <f>IF(Q20="PS",H20,0)</f>
        <v>0</v>
      </c>
      <c r="U20" s="27">
        <f>IF(Q20="PS",I20-P20,0)</f>
        <v>0</v>
      </c>
      <c r="V20" s="27">
        <f>IF(Q20="MP",H20,0)</f>
        <v>0</v>
      </c>
      <c r="W20" s="27">
        <f>IF(Q20="MP",I20-P20,0)</f>
        <v>0</v>
      </c>
      <c r="X20" s="27">
        <f>IF(Q20="OM",H20,0)</f>
        <v>0</v>
      </c>
      <c r="Y20" s="22" t="s">
        <v>31</v>
      </c>
      <c r="AI20" s="27">
        <f>SUM(Z21:Z29)</f>
        <v>0</v>
      </c>
      <c r="AJ20" s="27">
        <f>SUM(AA21:AA29)</f>
        <v>0</v>
      </c>
      <c r="AK20" s="27">
        <f>SUM(AB21:AB29)</f>
        <v>0</v>
      </c>
    </row>
    <row r="21" spans="1:32" ht="12.75">
      <c r="A21" s="5" t="s">
        <v>12</v>
      </c>
      <c r="B21" s="5" t="s">
        <v>31</v>
      </c>
      <c r="C21" s="104" t="s">
        <v>42</v>
      </c>
      <c r="D21" s="5" t="s">
        <v>73</v>
      </c>
      <c r="E21" s="5" t="s">
        <v>103</v>
      </c>
      <c r="F21" s="13">
        <v>13</v>
      </c>
      <c r="H21" s="13">
        <f aca="true" t="shared" si="0" ref="H21:H29">ROUND(F21*AE21,2)</f>
        <v>0</v>
      </c>
      <c r="I21" s="13">
        <f aca="true" t="shared" si="1" ref="I21:I29">J21-H21</f>
        <v>0</v>
      </c>
      <c r="J21" s="13">
        <f aca="true" t="shared" si="2" ref="J21:J29">ROUND(F21*G21,2)</f>
        <v>0</v>
      </c>
      <c r="K21" s="13">
        <v>0.0322</v>
      </c>
      <c r="L21" s="13">
        <f aca="true" t="shared" si="3" ref="L21:L29">F21*K21</f>
        <v>0.41859999999999997</v>
      </c>
      <c r="N21" s="25" t="s">
        <v>9</v>
      </c>
      <c r="O21" s="13">
        <f aca="true" t="shared" si="4" ref="O21:O29">IF(N21="5",I21,0)</f>
        <v>0</v>
      </c>
      <c r="Z21" s="13">
        <f aca="true" t="shared" si="5" ref="Z21:Z29">IF(AD21=0,J21,0)</f>
        <v>0</v>
      </c>
      <c r="AA21" s="13">
        <f aca="true" t="shared" si="6" ref="AA21:AA29">IF(AD21=15,J21,0)</f>
        <v>0</v>
      </c>
      <c r="AB21" s="13">
        <f aca="true" t="shared" si="7" ref="AB21:AB29">IF(AD21=21,J21,0)</f>
        <v>0</v>
      </c>
      <c r="AD21" s="13">
        <v>21</v>
      </c>
      <c r="AE21" s="13">
        <f>G21*0.923165329133677</f>
        <v>0</v>
      </c>
      <c r="AF21" s="13">
        <f>G21*(1-0.923165329133677)</f>
        <v>0</v>
      </c>
    </row>
    <row r="22" spans="1:32" ht="12.75">
      <c r="A22" s="5" t="s">
        <v>13</v>
      </c>
      <c r="B22" s="5" t="s">
        <v>31</v>
      </c>
      <c r="C22" s="104" t="s">
        <v>43</v>
      </c>
      <c r="D22" s="5" t="s">
        <v>74</v>
      </c>
      <c r="E22" s="5" t="s">
        <v>103</v>
      </c>
      <c r="F22" s="13">
        <v>1</v>
      </c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0.0219</v>
      </c>
      <c r="L22" s="13">
        <f t="shared" si="3"/>
        <v>0.0219</v>
      </c>
      <c r="N22" s="25" t="s">
        <v>9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13">
        <v>21</v>
      </c>
      <c r="AE22" s="13">
        <f>G22*0.91387011797045</f>
        <v>0</v>
      </c>
      <c r="AF22" s="13">
        <f>G22*(1-0.91387011797045)</f>
        <v>0</v>
      </c>
    </row>
    <row r="23" spans="1:32" ht="12.75">
      <c r="A23" s="5" t="s">
        <v>14</v>
      </c>
      <c r="B23" s="5" t="s">
        <v>31</v>
      </c>
      <c r="C23" s="104" t="s">
        <v>42</v>
      </c>
      <c r="D23" s="5" t="s">
        <v>75</v>
      </c>
      <c r="E23" s="5" t="s">
        <v>103</v>
      </c>
      <c r="F23" s="13">
        <v>1</v>
      </c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0.0322</v>
      </c>
      <c r="L23" s="13">
        <f t="shared" si="3"/>
        <v>0.0322</v>
      </c>
      <c r="N23" s="25" t="s">
        <v>9</v>
      </c>
      <c r="O23" s="13">
        <f t="shared" si="4"/>
        <v>0</v>
      </c>
      <c r="Z23" s="13">
        <f t="shared" si="5"/>
        <v>0</v>
      </c>
      <c r="AA23" s="13">
        <f t="shared" si="6"/>
        <v>0</v>
      </c>
      <c r="AB23" s="13">
        <f t="shared" si="7"/>
        <v>0</v>
      </c>
      <c r="AD23" s="13">
        <v>21</v>
      </c>
      <c r="AE23" s="13">
        <f>G23*0.923165329133677</f>
        <v>0</v>
      </c>
      <c r="AF23" s="13">
        <f>G23*(1-0.923165329133677)</f>
        <v>0</v>
      </c>
    </row>
    <row r="24" spans="1:32" ht="12.75">
      <c r="A24" s="5" t="s">
        <v>15</v>
      </c>
      <c r="B24" s="5" t="s">
        <v>31</v>
      </c>
      <c r="C24" s="104" t="s">
        <v>43</v>
      </c>
      <c r="D24" s="5" t="s">
        <v>76</v>
      </c>
      <c r="E24" s="5" t="s">
        <v>103</v>
      </c>
      <c r="F24" s="13">
        <v>13</v>
      </c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0.0219</v>
      </c>
      <c r="L24" s="13">
        <f t="shared" si="3"/>
        <v>0.2847</v>
      </c>
      <c r="N24" s="25" t="s">
        <v>9</v>
      </c>
      <c r="O24" s="13">
        <f t="shared" si="4"/>
        <v>0</v>
      </c>
      <c r="Z24" s="13">
        <f t="shared" si="5"/>
        <v>0</v>
      </c>
      <c r="AA24" s="13">
        <f t="shared" si="6"/>
        <v>0</v>
      </c>
      <c r="AB24" s="13">
        <f t="shared" si="7"/>
        <v>0</v>
      </c>
      <c r="AD24" s="13">
        <v>21</v>
      </c>
      <c r="AE24" s="13">
        <f>G24*0.91387011797045</f>
        <v>0</v>
      </c>
      <c r="AF24" s="13">
        <f>G24*(1-0.91387011797045)</f>
        <v>0</v>
      </c>
    </row>
    <row r="25" spans="1:32" ht="12.75">
      <c r="A25" s="5" t="s">
        <v>16</v>
      </c>
      <c r="B25" s="5" t="s">
        <v>31</v>
      </c>
      <c r="C25" s="104" t="s">
        <v>43</v>
      </c>
      <c r="D25" s="5" t="s">
        <v>77</v>
      </c>
      <c r="E25" s="5" t="s">
        <v>103</v>
      </c>
      <c r="F25" s="13">
        <v>3</v>
      </c>
      <c r="H25" s="13">
        <f t="shared" si="0"/>
        <v>0</v>
      </c>
      <c r="I25" s="13">
        <f t="shared" si="1"/>
        <v>0</v>
      </c>
      <c r="J25" s="13">
        <f t="shared" si="2"/>
        <v>0</v>
      </c>
      <c r="K25" s="13">
        <v>0.0219</v>
      </c>
      <c r="L25" s="13">
        <f t="shared" si="3"/>
        <v>0.0657</v>
      </c>
      <c r="N25" s="25" t="s">
        <v>9</v>
      </c>
      <c r="O25" s="13">
        <f t="shared" si="4"/>
        <v>0</v>
      </c>
      <c r="Z25" s="13">
        <f t="shared" si="5"/>
        <v>0</v>
      </c>
      <c r="AA25" s="13">
        <f t="shared" si="6"/>
        <v>0</v>
      </c>
      <c r="AB25" s="13">
        <f t="shared" si="7"/>
        <v>0</v>
      </c>
      <c r="AD25" s="13">
        <v>21</v>
      </c>
      <c r="AE25" s="13">
        <f>G25*0.91387011797045</f>
        <v>0</v>
      </c>
      <c r="AF25" s="13">
        <f>G25*(1-0.91387011797045)</f>
        <v>0</v>
      </c>
    </row>
    <row r="26" spans="1:32" ht="12.75">
      <c r="A26" s="5" t="s">
        <v>17</v>
      </c>
      <c r="B26" s="5" t="s">
        <v>31</v>
      </c>
      <c r="C26" s="104" t="s">
        <v>44</v>
      </c>
      <c r="D26" s="5" t="s">
        <v>78</v>
      </c>
      <c r="E26" s="5" t="s">
        <v>103</v>
      </c>
      <c r="F26" s="13">
        <v>2</v>
      </c>
      <c r="H26" s="13">
        <f t="shared" si="0"/>
        <v>0</v>
      </c>
      <c r="I26" s="13">
        <f t="shared" si="1"/>
        <v>0</v>
      </c>
      <c r="J26" s="13">
        <f t="shared" si="2"/>
        <v>0</v>
      </c>
      <c r="K26" s="13">
        <v>0.03968</v>
      </c>
      <c r="L26" s="13">
        <f t="shared" si="3"/>
        <v>0.07936</v>
      </c>
      <c r="N26" s="25" t="s">
        <v>9</v>
      </c>
      <c r="O26" s="13">
        <f t="shared" si="4"/>
        <v>0</v>
      </c>
      <c r="Z26" s="13">
        <f t="shared" si="5"/>
        <v>0</v>
      </c>
      <c r="AA26" s="13">
        <f t="shared" si="6"/>
        <v>0</v>
      </c>
      <c r="AB26" s="13">
        <f t="shared" si="7"/>
        <v>0</v>
      </c>
      <c r="AD26" s="13">
        <v>21</v>
      </c>
      <c r="AE26" s="13">
        <f>G26*0.861649551025163</f>
        <v>0</v>
      </c>
      <c r="AF26" s="13">
        <f>G26*(1-0.861649551025163)</f>
        <v>0</v>
      </c>
    </row>
    <row r="27" spans="1:32" ht="12.75">
      <c r="A27" s="5" t="s">
        <v>18</v>
      </c>
      <c r="B27" s="5" t="s">
        <v>31</v>
      </c>
      <c r="C27" s="104" t="s">
        <v>44</v>
      </c>
      <c r="D27" s="5" t="s">
        <v>79</v>
      </c>
      <c r="E27" s="5" t="s">
        <v>103</v>
      </c>
      <c r="F27" s="13">
        <v>1</v>
      </c>
      <c r="H27" s="13">
        <f t="shared" si="0"/>
        <v>0</v>
      </c>
      <c r="I27" s="13">
        <f t="shared" si="1"/>
        <v>0</v>
      </c>
      <c r="J27" s="13">
        <f t="shared" si="2"/>
        <v>0</v>
      </c>
      <c r="K27" s="13">
        <v>0.03968</v>
      </c>
      <c r="L27" s="13">
        <f t="shared" si="3"/>
        <v>0.03968</v>
      </c>
      <c r="N27" s="25" t="s">
        <v>9</v>
      </c>
      <c r="O27" s="13">
        <f t="shared" si="4"/>
        <v>0</v>
      </c>
      <c r="Z27" s="13">
        <f t="shared" si="5"/>
        <v>0</v>
      </c>
      <c r="AA27" s="13">
        <f t="shared" si="6"/>
        <v>0</v>
      </c>
      <c r="AB27" s="13">
        <f t="shared" si="7"/>
        <v>0</v>
      </c>
      <c r="AD27" s="13">
        <v>21</v>
      </c>
      <c r="AE27" s="13">
        <f>G27*0.861649551025163</f>
        <v>0</v>
      </c>
      <c r="AF27" s="13">
        <f>G27*(1-0.861649551025163)</f>
        <v>0</v>
      </c>
    </row>
    <row r="28" spans="1:32" ht="12.75">
      <c r="A28" s="5" t="s">
        <v>19</v>
      </c>
      <c r="B28" s="5" t="s">
        <v>31</v>
      </c>
      <c r="C28" s="104" t="s">
        <v>45</v>
      </c>
      <c r="D28" s="5" t="s">
        <v>80</v>
      </c>
      <c r="E28" s="5" t="s">
        <v>101</v>
      </c>
      <c r="F28" s="13">
        <v>49.5</v>
      </c>
      <c r="H28" s="13">
        <f t="shared" si="0"/>
        <v>0</v>
      </c>
      <c r="I28" s="13">
        <f t="shared" si="1"/>
        <v>0</v>
      </c>
      <c r="J28" s="13">
        <f t="shared" si="2"/>
        <v>0</v>
      </c>
      <c r="K28" s="13">
        <v>0.004</v>
      </c>
      <c r="L28" s="13">
        <f t="shared" si="3"/>
        <v>0.198</v>
      </c>
      <c r="N28" s="25" t="s">
        <v>123</v>
      </c>
      <c r="O28" s="13">
        <f t="shared" si="4"/>
        <v>0</v>
      </c>
      <c r="Z28" s="13">
        <f t="shared" si="5"/>
        <v>0</v>
      </c>
      <c r="AA28" s="13">
        <f t="shared" si="6"/>
        <v>0</v>
      </c>
      <c r="AB28" s="13">
        <f t="shared" si="7"/>
        <v>0</v>
      </c>
      <c r="AD28" s="13">
        <v>21</v>
      </c>
      <c r="AE28" s="13">
        <f>G28*1</f>
        <v>0</v>
      </c>
      <c r="AF28" s="13">
        <f>G28*(1-1)</f>
        <v>0</v>
      </c>
    </row>
    <row r="29" spans="1:32" ht="12.75">
      <c r="A29" s="5" t="s">
        <v>20</v>
      </c>
      <c r="B29" s="5" t="s">
        <v>31</v>
      </c>
      <c r="C29" s="104" t="s">
        <v>46</v>
      </c>
      <c r="D29" s="5" t="s">
        <v>81</v>
      </c>
      <c r="E29" s="5" t="s">
        <v>101</v>
      </c>
      <c r="F29" s="13">
        <v>49.5</v>
      </c>
      <c r="H29" s="13">
        <f t="shared" si="0"/>
        <v>0</v>
      </c>
      <c r="I29" s="13">
        <f t="shared" si="1"/>
        <v>0</v>
      </c>
      <c r="J29" s="13">
        <f t="shared" si="2"/>
        <v>0</v>
      </c>
      <c r="K29" s="13">
        <v>0.006</v>
      </c>
      <c r="L29" s="13">
        <f t="shared" si="3"/>
        <v>0.297</v>
      </c>
      <c r="N29" s="25" t="s">
        <v>123</v>
      </c>
      <c r="O29" s="13">
        <f t="shared" si="4"/>
        <v>0</v>
      </c>
      <c r="Z29" s="13">
        <f t="shared" si="5"/>
        <v>0</v>
      </c>
      <c r="AA29" s="13">
        <f t="shared" si="6"/>
        <v>0</v>
      </c>
      <c r="AB29" s="13">
        <f t="shared" si="7"/>
        <v>0</v>
      </c>
      <c r="AD29" s="13">
        <v>21</v>
      </c>
      <c r="AE29" s="13">
        <f>G29*1</f>
        <v>0</v>
      </c>
      <c r="AF29" s="13">
        <f>G29*(1-1)</f>
        <v>0</v>
      </c>
    </row>
    <row r="30" spans="1:12" ht="12.75">
      <c r="A30" s="4"/>
      <c r="B30" s="4"/>
      <c r="C30" s="11"/>
      <c r="D30" s="44" t="s">
        <v>82</v>
      </c>
      <c r="E30" s="45"/>
      <c r="F30" s="45"/>
      <c r="G30" s="45"/>
      <c r="H30" s="27">
        <f>H31+H36+H38+H42</f>
        <v>0</v>
      </c>
      <c r="I30" s="27">
        <f>I31+I36+I38+I42</f>
        <v>0</v>
      </c>
      <c r="J30" s="27">
        <f>H30+I30</f>
        <v>0</v>
      </c>
      <c r="K30" s="22"/>
      <c r="L30" s="27">
        <f>L31+L36+L38+L42</f>
        <v>16.7586</v>
      </c>
    </row>
    <row r="31" spans="1:37" ht="12.75">
      <c r="A31" s="4"/>
      <c r="B31" s="4"/>
      <c r="C31" s="11" t="s">
        <v>47</v>
      </c>
      <c r="D31" s="44" t="s">
        <v>83</v>
      </c>
      <c r="E31" s="45"/>
      <c r="F31" s="45"/>
      <c r="G31" s="45"/>
      <c r="H31" s="27">
        <f>SUM(H32:H35)</f>
        <v>0</v>
      </c>
      <c r="I31" s="27">
        <f>SUM(I32:I35)</f>
        <v>0</v>
      </c>
      <c r="J31" s="27">
        <f>H31+I31</f>
        <v>0</v>
      </c>
      <c r="K31" s="22"/>
      <c r="L31" s="27">
        <f>SUM(L32:L35)</f>
        <v>7.057300000000001</v>
      </c>
      <c r="P31" s="27">
        <f>IF(Q31="PR",J31,SUM(O32:O35))</f>
        <v>0</v>
      </c>
      <c r="Q31" s="22" t="s">
        <v>127</v>
      </c>
      <c r="R31" s="27">
        <f>IF(Q31="HS",H31,0)</f>
        <v>0</v>
      </c>
      <c r="S31" s="27">
        <f>IF(Q31="HS",I31-P31,0)</f>
        <v>0</v>
      </c>
      <c r="T31" s="27">
        <f>IF(Q31="PS",H31,0)</f>
        <v>0</v>
      </c>
      <c r="U31" s="27">
        <f>IF(Q31="PS",I31-P31,0)</f>
        <v>0</v>
      </c>
      <c r="V31" s="27">
        <f>IF(Q31="MP",H31,0)</f>
        <v>0</v>
      </c>
      <c r="W31" s="27">
        <f>IF(Q31="MP",I31-P31,0)</f>
        <v>0</v>
      </c>
      <c r="X31" s="27">
        <f>IF(Q31="OM",H31,0)</f>
        <v>0</v>
      </c>
      <c r="Y31" s="22" t="s">
        <v>32</v>
      </c>
      <c r="AI31" s="27">
        <f>SUM(Z32:Z35)</f>
        <v>0</v>
      </c>
      <c r="AJ31" s="27">
        <f>SUM(AA32:AA35)</f>
        <v>0</v>
      </c>
      <c r="AK31" s="27">
        <f>SUM(AB32:AB35)</f>
        <v>0</v>
      </c>
    </row>
    <row r="32" spans="1:32" ht="12.75">
      <c r="A32" s="5" t="s">
        <v>21</v>
      </c>
      <c r="B32" s="5" t="s">
        <v>32</v>
      </c>
      <c r="C32" s="5" t="s">
        <v>48</v>
      </c>
      <c r="D32" s="5" t="s">
        <v>84</v>
      </c>
      <c r="E32" s="5" t="s">
        <v>101</v>
      </c>
      <c r="F32" s="13">
        <v>150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0.00035</v>
      </c>
      <c r="L32" s="13">
        <f>F32*K32</f>
        <v>0.0525</v>
      </c>
      <c r="N32" s="25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13">
        <v>21</v>
      </c>
      <c r="AE32" s="13">
        <f>G32*0.405845032397408</f>
        <v>0</v>
      </c>
      <c r="AF32" s="13">
        <f>G32*(1-0.405845032397408)</f>
        <v>0</v>
      </c>
    </row>
    <row r="33" spans="1:32" ht="12.75">
      <c r="A33" s="5" t="s">
        <v>22</v>
      </c>
      <c r="B33" s="5" t="s">
        <v>32</v>
      </c>
      <c r="C33" s="5" t="s">
        <v>49</v>
      </c>
      <c r="D33" s="5" t="s">
        <v>85</v>
      </c>
      <c r="E33" s="5" t="s">
        <v>104</v>
      </c>
      <c r="F33" s="13">
        <v>14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0</v>
      </c>
      <c r="L33" s="13">
        <f>F33*K33</f>
        <v>0</v>
      </c>
      <c r="N33" s="25" t="s">
        <v>11</v>
      </c>
      <c r="O33" s="13">
        <f>IF(N33="5",I33,0)</f>
        <v>0</v>
      </c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13">
        <v>21</v>
      </c>
      <c r="AE33" s="13">
        <f>G33*0</f>
        <v>0</v>
      </c>
      <c r="AF33" s="13">
        <f>G33*(1-0)</f>
        <v>0</v>
      </c>
    </row>
    <row r="34" spans="1:32" ht="12.75">
      <c r="A34" s="5" t="s">
        <v>23</v>
      </c>
      <c r="B34" s="5" t="s">
        <v>32</v>
      </c>
      <c r="C34" s="5" t="s">
        <v>50</v>
      </c>
      <c r="D34" s="5" t="s">
        <v>86</v>
      </c>
      <c r="E34" s="5" t="s">
        <v>102</v>
      </c>
      <c r="F34" s="13">
        <v>11.2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0.55</v>
      </c>
      <c r="L34" s="13">
        <f>F34*K34</f>
        <v>6.16</v>
      </c>
      <c r="N34" s="25" t="s">
        <v>123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13">
        <v>21</v>
      </c>
      <c r="AE34" s="13">
        <f>G34*1</f>
        <v>0</v>
      </c>
      <c r="AF34" s="13">
        <f>G34*(1-1)</f>
        <v>0</v>
      </c>
    </row>
    <row r="35" spans="1:32" ht="12.75">
      <c r="A35" s="5" t="s">
        <v>24</v>
      </c>
      <c r="B35" s="5" t="s">
        <v>32</v>
      </c>
      <c r="C35" s="5" t="s">
        <v>51</v>
      </c>
      <c r="D35" s="5" t="s">
        <v>87</v>
      </c>
      <c r="E35" s="5" t="s">
        <v>105</v>
      </c>
      <c r="F35" s="13">
        <v>320</v>
      </c>
      <c r="H35" s="13">
        <f>ROUND(F35*AE35,2)</f>
        <v>0</v>
      </c>
      <c r="I35" s="13">
        <f>J35-H35</f>
        <v>0</v>
      </c>
      <c r="J35" s="13">
        <f>ROUND(F35*G35,2)</f>
        <v>0</v>
      </c>
      <c r="K35" s="13">
        <v>0.00264</v>
      </c>
      <c r="L35" s="13">
        <f>F35*K35</f>
        <v>0.8448</v>
      </c>
      <c r="N35" s="25" t="s">
        <v>123</v>
      </c>
      <c r="O35" s="13">
        <f>IF(N35="5",I35,0)</f>
        <v>0</v>
      </c>
      <c r="Z35" s="13">
        <f>IF(AD35=0,J35,0)</f>
        <v>0</v>
      </c>
      <c r="AA35" s="13">
        <f>IF(AD35=15,J35,0)</f>
        <v>0</v>
      </c>
      <c r="AB35" s="13">
        <f>IF(AD35=21,J35,0)</f>
        <v>0</v>
      </c>
      <c r="AD35" s="13">
        <v>21</v>
      </c>
      <c r="AE35" s="13">
        <f>G35*1</f>
        <v>0</v>
      </c>
      <c r="AF35" s="13">
        <f>G35*(1-1)</f>
        <v>0</v>
      </c>
    </row>
    <row r="36" spans="1:37" ht="12.75">
      <c r="A36" s="4"/>
      <c r="B36" s="4"/>
      <c r="C36" s="11" t="s">
        <v>52</v>
      </c>
      <c r="D36" s="44" t="s">
        <v>88</v>
      </c>
      <c r="E36" s="45"/>
      <c r="F36" s="45"/>
      <c r="G36" s="45"/>
      <c r="H36" s="27">
        <f>SUM(H37:H37)</f>
        <v>0</v>
      </c>
      <c r="I36" s="27">
        <f>SUM(I37:I37)</f>
        <v>0</v>
      </c>
      <c r="J36" s="27">
        <f>H36+I36</f>
        <v>0</v>
      </c>
      <c r="K36" s="22"/>
      <c r="L36" s="27">
        <f>SUM(L37:L37)</f>
        <v>0.078</v>
      </c>
      <c r="P36" s="27">
        <f>IF(Q36="PR",J36,SUM(O37:O37))</f>
        <v>0</v>
      </c>
      <c r="Q36" s="22" t="s">
        <v>127</v>
      </c>
      <c r="R36" s="27">
        <f>IF(Q36="HS",H36,0)</f>
        <v>0</v>
      </c>
      <c r="S36" s="27">
        <f>IF(Q36="HS",I36-P36,0)</f>
        <v>0</v>
      </c>
      <c r="T36" s="27">
        <f>IF(Q36="PS",H36,0)</f>
        <v>0</v>
      </c>
      <c r="U36" s="27">
        <f>IF(Q36="PS",I36-P36,0)</f>
        <v>0</v>
      </c>
      <c r="V36" s="27">
        <f>IF(Q36="MP",H36,0)</f>
        <v>0</v>
      </c>
      <c r="W36" s="27">
        <f>IF(Q36="MP",I36-P36,0)</f>
        <v>0</v>
      </c>
      <c r="X36" s="27">
        <f>IF(Q36="OM",H36,0)</f>
        <v>0</v>
      </c>
      <c r="Y36" s="22" t="s">
        <v>32</v>
      </c>
      <c r="AI36" s="27">
        <f>SUM(Z37:Z37)</f>
        <v>0</v>
      </c>
      <c r="AJ36" s="27">
        <f>SUM(AA37:AA37)</f>
        <v>0</v>
      </c>
      <c r="AK36" s="27">
        <f>SUM(AB37:AB37)</f>
        <v>0</v>
      </c>
    </row>
    <row r="37" spans="1:32" ht="12.75">
      <c r="A37" s="5" t="s">
        <v>25</v>
      </c>
      <c r="B37" s="5" t="s">
        <v>32</v>
      </c>
      <c r="C37" s="5" t="s">
        <v>53</v>
      </c>
      <c r="D37" s="5" t="s">
        <v>89</v>
      </c>
      <c r="E37" s="5" t="s">
        <v>101</v>
      </c>
      <c r="F37" s="13">
        <v>150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0.00052</v>
      </c>
      <c r="L37" s="13">
        <f>F37*K37</f>
        <v>0.078</v>
      </c>
      <c r="N37" s="25" t="s">
        <v>7</v>
      </c>
      <c r="O37" s="13">
        <f>IF(N37="5",I37,0)</f>
        <v>0</v>
      </c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13">
        <v>21</v>
      </c>
      <c r="AE37" s="13">
        <f>G37*0.265996088292819</f>
        <v>0</v>
      </c>
      <c r="AF37" s="13">
        <f>G37*(1-0.265996088292819)</f>
        <v>0</v>
      </c>
    </row>
    <row r="38" spans="1:37" ht="12.75">
      <c r="A38" s="4"/>
      <c r="B38" s="4"/>
      <c r="C38" s="11" t="s">
        <v>54</v>
      </c>
      <c r="D38" s="44" t="s">
        <v>90</v>
      </c>
      <c r="E38" s="45"/>
      <c r="F38" s="45"/>
      <c r="G38" s="45"/>
      <c r="H38" s="27">
        <f>SUM(H39:H41)</f>
        <v>0</v>
      </c>
      <c r="I38" s="27">
        <f>SUM(I39:I41)</f>
        <v>0</v>
      </c>
      <c r="J38" s="27">
        <f>H38+I38</f>
        <v>0</v>
      </c>
      <c r="K38" s="22"/>
      <c r="L38" s="27">
        <f>SUM(L39:L41)</f>
        <v>9.5133</v>
      </c>
      <c r="P38" s="27">
        <f>IF(Q38="PR",J38,SUM(O39:O41))</f>
        <v>0</v>
      </c>
      <c r="Q38" s="22" t="s">
        <v>126</v>
      </c>
      <c r="R38" s="27">
        <f>IF(Q38="HS",H38,0)</f>
        <v>0</v>
      </c>
      <c r="S38" s="27">
        <f>IF(Q38="HS",I38-P38,0)</f>
        <v>0</v>
      </c>
      <c r="T38" s="27">
        <f>IF(Q38="PS",H38,0)</f>
        <v>0</v>
      </c>
      <c r="U38" s="27">
        <f>IF(Q38="PS",I38-P38,0)</f>
        <v>0</v>
      </c>
      <c r="V38" s="27">
        <f>IF(Q38="MP",H38,0)</f>
        <v>0</v>
      </c>
      <c r="W38" s="27">
        <f>IF(Q38="MP",I38-P38,0)</f>
        <v>0</v>
      </c>
      <c r="X38" s="27">
        <f>IF(Q38="OM",H38,0)</f>
        <v>0</v>
      </c>
      <c r="Y38" s="22" t="s">
        <v>32</v>
      </c>
      <c r="AI38" s="27">
        <f>SUM(Z39:Z41)</f>
        <v>0</v>
      </c>
      <c r="AJ38" s="27">
        <f>SUM(AA39:AA41)</f>
        <v>0</v>
      </c>
      <c r="AK38" s="27">
        <f>SUM(AB39:AB41)</f>
        <v>0</v>
      </c>
    </row>
    <row r="39" spans="1:32" ht="12.75">
      <c r="A39" s="5" t="s">
        <v>26</v>
      </c>
      <c r="B39" s="5" t="s">
        <v>32</v>
      </c>
      <c r="C39" s="5" t="s">
        <v>55</v>
      </c>
      <c r="D39" s="5" t="s">
        <v>91</v>
      </c>
      <c r="E39" s="5" t="s">
        <v>101</v>
      </c>
      <c r="F39" s="13">
        <v>285</v>
      </c>
      <c r="H39" s="13">
        <f>ROUND(F39*AE39,2)</f>
        <v>0</v>
      </c>
      <c r="I39" s="13">
        <f>J39-H39</f>
        <v>0</v>
      </c>
      <c r="J39" s="13">
        <f>ROUND(F39*G39,2)</f>
        <v>0</v>
      </c>
      <c r="K39" s="13">
        <v>0.03338</v>
      </c>
      <c r="L39" s="13">
        <f>F39*K39</f>
        <v>9.5133</v>
      </c>
      <c r="N39" s="25" t="s">
        <v>7</v>
      </c>
      <c r="O39" s="13">
        <f>IF(N39="5",I39,0)</f>
        <v>0</v>
      </c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13">
        <v>21</v>
      </c>
      <c r="AE39" s="13">
        <f>G39*0.000220312844238819</f>
        <v>0</v>
      </c>
      <c r="AF39" s="13">
        <f>G39*(1-0.000220312844238819)</f>
        <v>0</v>
      </c>
    </row>
    <row r="40" spans="1:32" ht="12.75">
      <c r="A40" s="5" t="s">
        <v>27</v>
      </c>
      <c r="B40" s="5" t="s">
        <v>32</v>
      </c>
      <c r="C40" s="5" t="s">
        <v>56</v>
      </c>
      <c r="D40" s="5" t="s">
        <v>92</v>
      </c>
      <c r="E40" s="5" t="s">
        <v>101</v>
      </c>
      <c r="F40" s="13">
        <v>285</v>
      </c>
      <c r="H40" s="13">
        <f>ROUND(F40*AE40,2)</f>
        <v>0</v>
      </c>
      <c r="I40" s="13">
        <f>J40-H40</f>
        <v>0</v>
      </c>
      <c r="J40" s="13">
        <f>ROUND(F40*G40,2)</f>
        <v>0</v>
      </c>
      <c r="K40" s="13">
        <v>0</v>
      </c>
      <c r="L40" s="13">
        <f>F40*K40</f>
        <v>0</v>
      </c>
      <c r="N40" s="25" t="s">
        <v>7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13">
        <v>21</v>
      </c>
      <c r="AE40" s="13">
        <f>G40*0</f>
        <v>0</v>
      </c>
      <c r="AF40" s="13">
        <f>G40*(1-0)</f>
        <v>0</v>
      </c>
    </row>
    <row r="41" spans="1:32" ht="12.75">
      <c r="A41" s="5" t="s">
        <v>28</v>
      </c>
      <c r="B41" s="5" t="s">
        <v>32</v>
      </c>
      <c r="C41" s="5" t="s">
        <v>57</v>
      </c>
      <c r="D41" s="5" t="s">
        <v>93</v>
      </c>
      <c r="E41" s="5" t="s">
        <v>101</v>
      </c>
      <c r="F41" s="13">
        <v>285</v>
      </c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</v>
      </c>
      <c r="L41" s="13">
        <f>F41*K41</f>
        <v>0</v>
      </c>
      <c r="N41" s="25" t="s">
        <v>7</v>
      </c>
      <c r="O41" s="13">
        <f>IF(N41="5",I41,0)</f>
        <v>0</v>
      </c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13">
        <v>21</v>
      </c>
      <c r="AE41" s="13">
        <f>G41*0.944048830111902</f>
        <v>0</v>
      </c>
      <c r="AF41" s="13">
        <f>G41*(1-0.944048830111902)</f>
        <v>0</v>
      </c>
    </row>
    <row r="42" spans="1:37" ht="12.75">
      <c r="A42" s="4"/>
      <c r="B42" s="4"/>
      <c r="C42" s="11"/>
      <c r="D42" s="44" t="s">
        <v>94</v>
      </c>
      <c r="E42" s="45"/>
      <c r="F42" s="45"/>
      <c r="G42" s="45"/>
      <c r="H42" s="27">
        <f>SUM(H43:H43)</f>
        <v>0</v>
      </c>
      <c r="I42" s="27">
        <f>SUM(I43:I43)</f>
        <v>0</v>
      </c>
      <c r="J42" s="27">
        <f>H42+I42</f>
        <v>0</v>
      </c>
      <c r="K42" s="22"/>
      <c r="L42" s="27">
        <f>SUM(L43:L43)</f>
        <v>0.11</v>
      </c>
      <c r="P42" s="27">
        <f>IF(Q42="PR",J42,SUM(O43:O43))</f>
        <v>0</v>
      </c>
      <c r="Q42" s="22" t="s">
        <v>128</v>
      </c>
      <c r="R42" s="27">
        <f>IF(Q42="HS",H42,0)</f>
        <v>0</v>
      </c>
      <c r="S42" s="27">
        <f>IF(Q42="HS",I42-P42,0)</f>
        <v>0</v>
      </c>
      <c r="T42" s="27">
        <f>IF(Q42="PS",H42,0)</f>
        <v>0</v>
      </c>
      <c r="U42" s="27">
        <f>IF(Q42="PS",I42-P42,0)</f>
        <v>0</v>
      </c>
      <c r="V42" s="27">
        <f>IF(Q42="MP",H42,0)</f>
        <v>0</v>
      </c>
      <c r="W42" s="27">
        <f>IF(Q42="MP",I42-P42,0)</f>
        <v>0</v>
      </c>
      <c r="X42" s="27">
        <f>IF(Q42="OM",H42,0)</f>
        <v>0</v>
      </c>
      <c r="Y42" s="22" t="s">
        <v>32</v>
      </c>
      <c r="AI42" s="27">
        <f>SUM(Z43:Z43)</f>
        <v>0</v>
      </c>
      <c r="AJ42" s="27">
        <f>SUM(AA43:AA43)</f>
        <v>0</v>
      </c>
      <c r="AK42" s="27">
        <f>SUM(AB43:AB43)</f>
        <v>0</v>
      </c>
    </row>
    <row r="43" spans="1:32" ht="12.75">
      <c r="A43" s="6" t="s">
        <v>29</v>
      </c>
      <c r="B43" s="6" t="s">
        <v>32</v>
      </c>
      <c r="C43" s="6" t="s">
        <v>58</v>
      </c>
      <c r="D43" s="6" t="s">
        <v>95</v>
      </c>
      <c r="E43" s="6" t="s">
        <v>105</v>
      </c>
      <c r="F43" s="14">
        <v>220</v>
      </c>
      <c r="G43" s="17"/>
      <c r="H43" s="14">
        <f>ROUND(F43*AE43,2)</f>
        <v>0</v>
      </c>
      <c r="I43" s="14">
        <f>J43-H43</f>
        <v>0</v>
      </c>
      <c r="J43" s="14">
        <f>ROUND(F43*G43,2)</f>
        <v>0</v>
      </c>
      <c r="K43" s="14">
        <v>0.0005</v>
      </c>
      <c r="L43" s="14">
        <f>F43*K43</f>
        <v>0.11</v>
      </c>
      <c r="N43" s="25" t="s">
        <v>123</v>
      </c>
      <c r="O43" s="13">
        <f>IF(N43="5",I43,0)</f>
        <v>0</v>
      </c>
      <c r="Z43" s="13">
        <f>IF(AD43=0,J43,0)</f>
        <v>0</v>
      </c>
      <c r="AA43" s="13">
        <f>IF(AD43=15,J43,0)</f>
        <v>0</v>
      </c>
      <c r="AB43" s="13">
        <f>IF(AD43=21,J43,0)</f>
        <v>0</v>
      </c>
      <c r="AD43" s="13">
        <v>21</v>
      </c>
      <c r="AE43" s="13">
        <f>G43*1</f>
        <v>0</v>
      </c>
      <c r="AF43" s="13">
        <f>G43*(1-1)</f>
        <v>0</v>
      </c>
    </row>
    <row r="44" spans="1:28" ht="12.75">
      <c r="A44" s="7"/>
      <c r="B44" s="7"/>
      <c r="C44" s="7"/>
      <c r="D44" s="7"/>
      <c r="E44" s="7"/>
      <c r="F44" s="7"/>
      <c r="G44" s="7"/>
      <c r="H44" s="46" t="s">
        <v>111</v>
      </c>
      <c r="I44" s="47"/>
      <c r="J44" s="28">
        <f>J13+J18+J20+J31+J36+J38+J42</f>
        <v>0</v>
      </c>
      <c r="K44" s="7"/>
      <c r="L44" s="7"/>
      <c r="Z44" s="29">
        <f>SUM(Z13:Z43)</f>
        <v>0</v>
      </c>
      <c r="AA44" s="29">
        <f>SUM(AA13:AA43)</f>
        <v>0</v>
      </c>
      <c r="AB44" s="29">
        <f>SUM(AB13:AB43)</f>
        <v>0</v>
      </c>
    </row>
  </sheetData>
  <sheetProtection/>
  <mergeCells count="37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H10:J10"/>
    <mergeCell ref="K10:L10"/>
    <mergeCell ref="D12:G12"/>
    <mergeCell ref="D13:G13"/>
    <mergeCell ref="I8:I9"/>
    <mergeCell ref="J2:L3"/>
    <mergeCell ref="J4:L5"/>
    <mergeCell ref="J6:L7"/>
    <mergeCell ref="J8:L9"/>
    <mergeCell ref="E8:F9"/>
    <mergeCell ref="D36:G36"/>
    <mergeCell ref="D38:G38"/>
    <mergeCell ref="D42:G42"/>
    <mergeCell ref="H44:I44"/>
    <mergeCell ref="D18:G18"/>
    <mergeCell ref="D20:G20"/>
    <mergeCell ref="D30:G30"/>
    <mergeCell ref="D31:G3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4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56"/>
      <c r="C2" s="56"/>
      <c r="D2" s="46" t="s">
        <v>59</v>
      </c>
      <c r="E2" s="55" t="s">
        <v>96</v>
      </c>
      <c r="F2" s="56"/>
      <c r="G2" s="55"/>
      <c r="H2" s="56"/>
      <c r="I2" s="55" t="s">
        <v>112</v>
      </c>
      <c r="J2" s="55" t="s">
        <v>117</v>
      </c>
      <c r="K2" s="56"/>
      <c r="L2" s="57"/>
      <c r="M2" s="23"/>
    </row>
    <row r="3" spans="1:13" ht="12.75">
      <c r="A3" s="68"/>
      <c r="B3" s="58"/>
      <c r="C3" s="58"/>
      <c r="D3" s="64"/>
      <c r="E3" s="58"/>
      <c r="F3" s="58"/>
      <c r="G3" s="58"/>
      <c r="H3" s="58"/>
      <c r="I3" s="58"/>
      <c r="J3" s="58"/>
      <c r="K3" s="58"/>
      <c r="L3" s="59"/>
      <c r="M3" s="23"/>
    </row>
    <row r="4" spans="1:13" ht="12.75">
      <c r="A4" s="62" t="s">
        <v>2</v>
      </c>
      <c r="B4" s="58"/>
      <c r="C4" s="58"/>
      <c r="D4" s="53" t="s">
        <v>60</v>
      </c>
      <c r="E4" s="53" t="s">
        <v>97</v>
      </c>
      <c r="F4" s="58"/>
      <c r="G4" s="61">
        <v>41428</v>
      </c>
      <c r="H4" s="58"/>
      <c r="I4" s="53" t="s">
        <v>113</v>
      </c>
      <c r="J4" s="53" t="s">
        <v>118</v>
      </c>
      <c r="K4" s="58"/>
      <c r="L4" s="59"/>
      <c r="M4" s="23"/>
    </row>
    <row r="5" spans="1:13" ht="12.75">
      <c r="A5" s="6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3"/>
    </row>
    <row r="6" spans="1:13" ht="12.75">
      <c r="A6" s="62" t="s">
        <v>3</v>
      </c>
      <c r="B6" s="58"/>
      <c r="C6" s="58"/>
      <c r="D6" s="53" t="s">
        <v>61</v>
      </c>
      <c r="E6" s="53" t="s">
        <v>98</v>
      </c>
      <c r="F6" s="58"/>
      <c r="G6" s="58"/>
      <c r="H6" s="58"/>
      <c r="I6" s="53" t="s">
        <v>114</v>
      </c>
      <c r="J6" s="53" t="s">
        <v>119</v>
      </c>
      <c r="K6" s="58"/>
      <c r="L6" s="59"/>
      <c r="M6" s="23"/>
    </row>
    <row r="7" spans="1:13" ht="12.75">
      <c r="A7" s="6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3"/>
    </row>
    <row r="8" spans="1:13" ht="12.75">
      <c r="A8" s="62" t="s">
        <v>4</v>
      </c>
      <c r="B8" s="58"/>
      <c r="C8" s="58"/>
      <c r="D8" s="53" t="s">
        <v>62</v>
      </c>
      <c r="E8" s="53" t="s">
        <v>99</v>
      </c>
      <c r="F8" s="58"/>
      <c r="G8" s="61">
        <v>41309</v>
      </c>
      <c r="H8" s="58"/>
      <c r="I8" s="53" t="s">
        <v>115</v>
      </c>
      <c r="J8" s="53" t="s">
        <v>120</v>
      </c>
      <c r="K8" s="58"/>
      <c r="L8" s="59"/>
      <c r="M8" s="23"/>
    </row>
    <row r="9" spans="1:13" ht="12.75">
      <c r="A9" s="63"/>
      <c r="B9" s="54"/>
      <c r="C9" s="54"/>
      <c r="D9" s="54"/>
      <c r="E9" s="54"/>
      <c r="F9" s="54"/>
      <c r="G9" s="54"/>
      <c r="H9" s="54"/>
      <c r="I9" s="54"/>
      <c r="J9" s="54"/>
      <c r="K9" s="54"/>
      <c r="L9" s="60"/>
      <c r="M9" s="23"/>
    </row>
    <row r="10" spans="1:13" ht="12.75">
      <c r="A10" s="8" t="s">
        <v>5</v>
      </c>
      <c r="B10" s="69" t="s">
        <v>5</v>
      </c>
      <c r="C10" s="70"/>
      <c r="D10" s="70"/>
      <c r="E10" s="70"/>
      <c r="F10" s="70"/>
      <c r="G10" s="70"/>
      <c r="H10" s="71"/>
      <c r="I10" s="48" t="s">
        <v>109</v>
      </c>
      <c r="J10" s="49"/>
      <c r="K10" s="50"/>
      <c r="L10" s="32" t="s">
        <v>122</v>
      </c>
      <c r="M10" s="24"/>
    </row>
    <row r="11" spans="1:13" ht="12.75">
      <c r="A11" s="9" t="s">
        <v>30</v>
      </c>
      <c r="B11" s="72" t="s">
        <v>63</v>
      </c>
      <c r="C11" s="73"/>
      <c r="D11" s="73"/>
      <c r="E11" s="73"/>
      <c r="F11" s="73"/>
      <c r="G11" s="73"/>
      <c r="H11" s="74"/>
      <c r="I11" s="18" t="s">
        <v>110</v>
      </c>
      <c r="J11" s="19" t="s">
        <v>116</v>
      </c>
      <c r="K11" s="19" t="s">
        <v>121</v>
      </c>
      <c r="L11" s="20" t="s">
        <v>121</v>
      </c>
      <c r="M11" s="24"/>
    </row>
    <row r="12" spans="1:14" ht="12.75">
      <c r="A12" s="30" t="s">
        <v>31</v>
      </c>
      <c r="B12" s="75" t="s">
        <v>64</v>
      </c>
      <c r="C12" s="70"/>
      <c r="D12" s="70"/>
      <c r="E12" s="70"/>
      <c r="F12" s="70"/>
      <c r="G12" s="70"/>
      <c r="H12" s="70"/>
      <c r="I12" s="31"/>
      <c r="J12" s="31"/>
      <c r="K12" s="31"/>
      <c r="L12" s="33">
        <v>27.79774</v>
      </c>
      <c r="M12" s="13" t="s">
        <v>136</v>
      </c>
      <c r="N12" s="13">
        <f>IF(M12="T",0,K12)</f>
        <v>0</v>
      </c>
    </row>
    <row r="13" spans="1:14" ht="12.75">
      <c r="A13" s="6" t="s">
        <v>32</v>
      </c>
      <c r="B13" s="76" t="s">
        <v>82</v>
      </c>
      <c r="C13" s="77"/>
      <c r="D13" s="77"/>
      <c r="E13" s="77"/>
      <c r="F13" s="77"/>
      <c r="G13" s="77"/>
      <c r="H13" s="77"/>
      <c r="I13" s="17"/>
      <c r="J13" s="17"/>
      <c r="K13" s="17"/>
      <c r="L13" s="14">
        <v>16.7586</v>
      </c>
      <c r="M13" s="13" t="s">
        <v>136</v>
      </c>
      <c r="N13" s="13">
        <f>IF(M13="T",0,K13)</f>
        <v>0</v>
      </c>
    </row>
    <row r="14" spans="1:12" ht="12.75">
      <c r="A14" s="7"/>
      <c r="B14" s="7"/>
      <c r="C14" s="7"/>
      <c r="D14" s="7"/>
      <c r="E14" s="7"/>
      <c r="F14" s="7"/>
      <c r="G14" s="7"/>
      <c r="H14" s="7"/>
      <c r="I14" s="46" t="s">
        <v>111</v>
      </c>
      <c r="J14" s="47"/>
      <c r="K14" s="28">
        <f>SUM(K12:K13)</f>
        <v>0</v>
      </c>
      <c r="L14" s="7"/>
    </row>
  </sheetData>
  <sheetProtection/>
  <mergeCells count="31">
    <mergeCell ref="D2:D3"/>
    <mergeCell ref="D4:D5"/>
    <mergeCell ref="D6:D7"/>
    <mergeCell ref="D8:D9"/>
    <mergeCell ref="J2:L3"/>
    <mergeCell ref="J4:L5"/>
    <mergeCell ref="J6:L7"/>
    <mergeCell ref="J8:L9"/>
    <mergeCell ref="E4:F5"/>
    <mergeCell ref="E6:F7"/>
    <mergeCell ref="I2:I3"/>
    <mergeCell ref="I4:I5"/>
    <mergeCell ref="I6:I7"/>
    <mergeCell ref="G2:H3"/>
    <mergeCell ref="G4:H5"/>
    <mergeCell ref="G6:H7"/>
    <mergeCell ref="G8:H9"/>
    <mergeCell ref="B13:H13"/>
    <mergeCell ref="A1:L1"/>
    <mergeCell ref="A2:C3"/>
    <mergeCell ref="A4:C5"/>
    <mergeCell ref="A6:C7"/>
    <mergeCell ref="E2:F3"/>
    <mergeCell ref="I14:J14"/>
    <mergeCell ref="B10:H10"/>
    <mergeCell ref="B11:H11"/>
    <mergeCell ref="I10:K10"/>
    <mergeCell ref="B12:H12"/>
    <mergeCell ref="E8:F9"/>
    <mergeCell ref="I8:I9"/>
    <mergeCell ref="A8:C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1" t="s">
        <v>137</v>
      </c>
      <c r="B1" s="102"/>
      <c r="C1" s="102"/>
      <c r="D1" s="102"/>
      <c r="E1" s="102"/>
      <c r="F1" s="102"/>
      <c r="G1" s="102"/>
      <c r="H1" s="102"/>
      <c r="I1" s="102"/>
    </row>
    <row r="2" spans="1:10" ht="12.75">
      <c r="A2" s="67" t="s">
        <v>1</v>
      </c>
      <c r="B2" s="56"/>
      <c r="C2" s="46" t="s">
        <v>59</v>
      </c>
      <c r="D2" s="47"/>
      <c r="E2" s="55" t="s">
        <v>112</v>
      </c>
      <c r="F2" s="55" t="s">
        <v>117</v>
      </c>
      <c r="G2" s="56"/>
      <c r="H2" s="55" t="s">
        <v>172</v>
      </c>
      <c r="I2" s="103"/>
      <c r="J2" s="23"/>
    </row>
    <row r="3" spans="1:10" ht="12.75">
      <c r="A3" s="68"/>
      <c r="B3" s="58"/>
      <c r="C3" s="64"/>
      <c r="D3" s="64"/>
      <c r="E3" s="58"/>
      <c r="F3" s="58"/>
      <c r="G3" s="58"/>
      <c r="H3" s="58"/>
      <c r="I3" s="59"/>
      <c r="J3" s="23"/>
    </row>
    <row r="4" spans="1:10" ht="12.75">
      <c r="A4" s="62" t="s">
        <v>2</v>
      </c>
      <c r="B4" s="58"/>
      <c r="C4" s="53" t="s">
        <v>60</v>
      </c>
      <c r="D4" s="58"/>
      <c r="E4" s="53" t="s">
        <v>113</v>
      </c>
      <c r="F4" s="53" t="s">
        <v>118</v>
      </c>
      <c r="G4" s="58"/>
      <c r="H4" s="53" t="s">
        <v>172</v>
      </c>
      <c r="I4" s="98" t="s">
        <v>176</v>
      </c>
      <c r="J4" s="23"/>
    </row>
    <row r="5" spans="1:10" ht="12.75">
      <c r="A5" s="68"/>
      <c r="B5" s="58"/>
      <c r="C5" s="58"/>
      <c r="D5" s="58"/>
      <c r="E5" s="58"/>
      <c r="F5" s="58"/>
      <c r="G5" s="58"/>
      <c r="H5" s="58"/>
      <c r="I5" s="59"/>
      <c r="J5" s="23"/>
    </row>
    <row r="6" spans="1:10" ht="12.75">
      <c r="A6" s="62" t="s">
        <v>3</v>
      </c>
      <c r="B6" s="58"/>
      <c r="C6" s="53" t="s">
        <v>61</v>
      </c>
      <c r="D6" s="58"/>
      <c r="E6" s="53" t="s">
        <v>114</v>
      </c>
      <c r="F6" s="53" t="s">
        <v>119</v>
      </c>
      <c r="G6" s="58"/>
      <c r="H6" s="53" t="s">
        <v>172</v>
      </c>
      <c r="I6" s="98"/>
      <c r="J6" s="23"/>
    </row>
    <row r="7" spans="1:10" ht="12.75">
      <c r="A7" s="68"/>
      <c r="B7" s="58"/>
      <c r="C7" s="58"/>
      <c r="D7" s="58"/>
      <c r="E7" s="58"/>
      <c r="F7" s="58"/>
      <c r="G7" s="58"/>
      <c r="H7" s="58"/>
      <c r="I7" s="59"/>
      <c r="J7" s="23"/>
    </row>
    <row r="8" spans="1:10" ht="12.75">
      <c r="A8" s="62" t="s">
        <v>97</v>
      </c>
      <c r="B8" s="58"/>
      <c r="C8" s="61">
        <v>41428</v>
      </c>
      <c r="D8" s="58"/>
      <c r="E8" s="53" t="s">
        <v>98</v>
      </c>
      <c r="F8" s="58"/>
      <c r="G8" s="58"/>
      <c r="H8" s="53" t="s">
        <v>173</v>
      </c>
      <c r="I8" s="98" t="s">
        <v>29</v>
      </c>
      <c r="J8" s="23"/>
    </row>
    <row r="9" spans="1:10" ht="12.75">
      <c r="A9" s="68"/>
      <c r="B9" s="58"/>
      <c r="C9" s="58"/>
      <c r="D9" s="58"/>
      <c r="E9" s="58"/>
      <c r="F9" s="58"/>
      <c r="G9" s="58"/>
      <c r="H9" s="58"/>
      <c r="I9" s="59"/>
      <c r="J9" s="23"/>
    </row>
    <row r="10" spans="1:10" ht="12.75">
      <c r="A10" s="62" t="s">
        <v>4</v>
      </c>
      <c r="B10" s="58"/>
      <c r="C10" s="53" t="s">
        <v>62</v>
      </c>
      <c r="D10" s="58"/>
      <c r="E10" s="53" t="s">
        <v>115</v>
      </c>
      <c r="F10" s="53" t="s">
        <v>120</v>
      </c>
      <c r="G10" s="58"/>
      <c r="H10" s="53" t="s">
        <v>174</v>
      </c>
      <c r="I10" s="99">
        <v>41309</v>
      </c>
      <c r="J10" s="23"/>
    </row>
    <row r="11" spans="1:10" ht="12.75">
      <c r="A11" s="97"/>
      <c r="B11" s="77"/>
      <c r="C11" s="77"/>
      <c r="D11" s="77"/>
      <c r="E11" s="77"/>
      <c r="F11" s="77"/>
      <c r="G11" s="77"/>
      <c r="H11" s="77"/>
      <c r="I11" s="100"/>
      <c r="J11" s="23"/>
    </row>
    <row r="12" spans="1:9" ht="23.25" customHeight="1">
      <c r="A12" s="93" t="s">
        <v>138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34" t="s">
        <v>139</v>
      </c>
      <c r="B13" s="95" t="s">
        <v>150</v>
      </c>
      <c r="C13" s="96"/>
      <c r="D13" s="34" t="s">
        <v>152</v>
      </c>
      <c r="E13" s="95" t="s">
        <v>160</v>
      </c>
      <c r="F13" s="96"/>
      <c r="G13" s="34" t="s">
        <v>161</v>
      </c>
      <c r="H13" s="95" t="s">
        <v>175</v>
      </c>
      <c r="I13" s="96"/>
      <c r="J13" s="23"/>
    </row>
    <row r="14" spans="1:10" ht="15" customHeight="1">
      <c r="A14" s="35" t="s">
        <v>140</v>
      </c>
      <c r="B14" s="39" t="s">
        <v>151</v>
      </c>
      <c r="C14" s="40"/>
      <c r="D14" s="91" t="s">
        <v>153</v>
      </c>
      <c r="E14" s="92"/>
      <c r="F14" s="40"/>
      <c r="G14" s="91" t="s">
        <v>162</v>
      </c>
      <c r="H14" s="92"/>
      <c r="I14" s="40"/>
      <c r="J14" s="23"/>
    </row>
    <row r="15" spans="1:10" ht="15" customHeight="1">
      <c r="A15" s="36"/>
      <c r="B15" s="39" t="s">
        <v>116</v>
      </c>
      <c r="C15" s="40"/>
      <c r="D15" s="91" t="s">
        <v>154</v>
      </c>
      <c r="E15" s="92"/>
      <c r="F15" s="40"/>
      <c r="G15" s="91" t="s">
        <v>163</v>
      </c>
      <c r="H15" s="92"/>
      <c r="I15" s="40"/>
      <c r="J15" s="23"/>
    </row>
    <row r="16" spans="1:10" ht="15" customHeight="1">
      <c r="A16" s="35" t="s">
        <v>141</v>
      </c>
      <c r="B16" s="39" t="s">
        <v>151</v>
      </c>
      <c r="C16" s="40"/>
      <c r="D16" s="91" t="s">
        <v>155</v>
      </c>
      <c r="E16" s="92"/>
      <c r="F16" s="40"/>
      <c r="G16" s="91" t="s">
        <v>164</v>
      </c>
      <c r="H16" s="92"/>
      <c r="I16" s="40"/>
      <c r="J16" s="23"/>
    </row>
    <row r="17" spans="1:10" ht="15" customHeight="1">
      <c r="A17" s="36"/>
      <c r="B17" s="39" t="s">
        <v>116</v>
      </c>
      <c r="C17" s="40"/>
      <c r="D17" s="91"/>
      <c r="E17" s="92"/>
      <c r="F17" s="43"/>
      <c r="G17" s="91" t="s">
        <v>165</v>
      </c>
      <c r="H17" s="92"/>
      <c r="I17" s="40"/>
      <c r="J17" s="23"/>
    </row>
    <row r="18" spans="1:10" ht="15" customHeight="1">
      <c r="A18" s="35" t="s">
        <v>142</v>
      </c>
      <c r="B18" s="39" t="s">
        <v>151</v>
      </c>
      <c r="C18" s="40"/>
      <c r="D18" s="91"/>
      <c r="E18" s="92"/>
      <c r="F18" s="43"/>
      <c r="G18" s="91" t="s">
        <v>166</v>
      </c>
      <c r="H18" s="92"/>
      <c r="I18" s="40"/>
      <c r="J18" s="23"/>
    </row>
    <row r="19" spans="1:10" ht="15" customHeight="1">
      <c r="A19" s="36"/>
      <c r="B19" s="39" t="s">
        <v>116</v>
      </c>
      <c r="C19" s="40"/>
      <c r="D19" s="91"/>
      <c r="E19" s="92"/>
      <c r="F19" s="43"/>
      <c r="G19" s="91" t="s">
        <v>167</v>
      </c>
      <c r="H19" s="92"/>
      <c r="I19" s="40"/>
      <c r="J19" s="23"/>
    </row>
    <row r="20" spans="1:10" ht="15" customHeight="1">
      <c r="A20" s="87" t="s">
        <v>94</v>
      </c>
      <c r="B20" s="88"/>
      <c r="C20" s="40"/>
      <c r="D20" s="91"/>
      <c r="E20" s="92"/>
      <c r="F20" s="43"/>
      <c r="G20" s="91"/>
      <c r="H20" s="92"/>
      <c r="I20" s="43"/>
      <c r="J20" s="23"/>
    </row>
    <row r="21" spans="1:10" ht="15" customHeight="1">
      <c r="A21" s="87" t="s">
        <v>143</v>
      </c>
      <c r="B21" s="88"/>
      <c r="C21" s="40"/>
      <c r="D21" s="91"/>
      <c r="E21" s="92"/>
      <c r="F21" s="43"/>
      <c r="G21" s="91"/>
      <c r="H21" s="92"/>
      <c r="I21" s="43"/>
      <c r="J21" s="23"/>
    </row>
    <row r="22" spans="1:10" ht="16.5" customHeight="1">
      <c r="A22" s="87" t="s">
        <v>144</v>
      </c>
      <c r="B22" s="88"/>
      <c r="C22" s="40"/>
      <c r="D22" s="87" t="s">
        <v>156</v>
      </c>
      <c r="E22" s="88"/>
      <c r="F22" s="40"/>
      <c r="G22" s="87" t="s">
        <v>168</v>
      </c>
      <c r="H22" s="88"/>
      <c r="I22" s="40"/>
      <c r="J22" s="23"/>
    </row>
    <row r="23" spans="1:9" ht="12.75">
      <c r="A23" s="37"/>
      <c r="B23" s="37"/>
      <c r="C23" s="37"/>
      <c r="D23" s="7"/>
      <c r="E23" s="7"/>
      <c r="F23" s="7"/>
      <c r="G23" s="7"/>
      <c r="H23" s="7"/>
      <c r="I23" s="7"/>
    </row>
    <row r="24" spans="1:9" ht="15" customHeight="1">
      <c r="A24" s="89" t="s">
        <v>145</v>
      </c>
      <c r="B24" s="90"/>
      <c r="C24" s="41"/>
      <c r="D24" s="42"/>
      <c r="E24" s="17"/>
      <c r="F24" s="17"/>
      <c r="G24" s="17"/>
      <c r="H24" s="17"/>
      <c r="I24" s="17"/>
    </row>
    <row r="25" spans="1:10" ht="15" customHeight="1">
      <c r="A25" s="89" t="s">
        <v>146</v>
      </c>
      <c r="B25" s="90"/>
      <c r="C25" s="41"/>
      <c r="D25" s="89" t="s">
        <v>157</v>
      </c>
      <c r="E25" s="90"/>
      <c r="F25" s="41"/>
      <c r="G25" s="89" t="s">
        <v>169</v>
      </c>
      <c r="H25" s="90"/>
      <c r="I25" s="41"/>
      <c r="J25" s="23"/>
    </row>
    <row r="26" spans="1:10" ht="15" customHeight="1">
      <c r="A26" s="89" t="s">
        <v>147</v>
      </c>
      <c r="B26" s="90"/>
      <c r="C26" s="41"/>
      <c r="D26" s="89" t="s">
        <v>158</v>
      </c>
      <c r="E26" s="90"/>
      <c r="F26" s="41"/>
      <c r="G26" s="89" t="s">
        <v>170</v>
      </c>
      <c r="H26" s="90"/>
      <c r="I26" s="41"/>
      <c r="J26" s="23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10" ht="14.25" customHeight="1">
      <c r="A28" s="81" t="s">
        <v>148</v>
      </c>
      <c r="B28" s="82"/>
      <c r="C28" s="83"/>
      <c r="D28" s="81" t="s">
        <v>159</v>
      </c>
      <c r="E28" s="82"/>
      <c r="F28" s="83"/>
      <c r="G28" s="81" t="s">
        <v>171</v>
      </c>
      <c r="H28" s="82"/>
      <c r="I28" s="83"/>
      <c r="J28" s="24"/>
    </row>
    <row r="29" spans="1:10" ht="14.25" customHeight="1">
      <c r="A29" s="84"/>
      <c r="B29" s="85"/>
      <c r="C29" s="86"/>
      <c r="D29" s="84"/>
      <c r="E29" s="85"/>
      <c r="F29" s="86"/>
      <c r="G29" s="84"/>
      <c r="H29" s="85"/>
      <c r="I29" s="86"/>
      <c r="J29" s="24"/>
    </row>
    <row r="30" spans="1:10" ht="14.25" customHeight="1">
      <c r="A30" s="84"/>
      <c r="B30" s="85"/>
      <c r="C30" s="86"/>
      <c r="D30" s="84"/>
      <c r="E30" s="85"/>
      <c r="F30" s="86"/>
      <c r="G30" s="84"/>
      <c r="H30" s="85"/>
      <c r="I30" s="86"/>
      <c r="J30" s="24"/>
    </row>
    <row r="31" spans="1:10" ht="14.25" customHeight="1">
      <c r="A31" s="84"/>
      <c r="B31" s="85"/>
      <c r="C31" s="86"/>
      <c r="D31" s="84"/>
      <c r="E31" s="85"/>
      <c r="F31" s="86"/>
      <c r="G31" s="84"/>
      <c r="H31" s="85"/>
      <c r="I31" s="86"/>
      <c r="J31" s="24"/>
    </row>
    <row r="32" spans="1:10" ht="14.25" customHeight="1">
      <c r="A32" s="78" t="s">
        <v>149</v>
      </c>
      <c r="B32" s="79"/>
      <c r="C32" s="80"/>
      <c r="D32" s="78" t="s">
        <v>149</v>
      </c>
      <c r="E32" s="79"/>
      <c r="F32" s="80"/>
      <c r="G32" s="78" t="s">
        <v>149</v>
      </c>
      <c r="H32" s="79"/>
      <c r="I32" s="80"/>
      <c r="J32" s="24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78">
    <mergeCell ref="H4:H5"/>
    <mergeCell ref="H6:H7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E4:E5"/>
    <mergeCell ref="E6:E7"/>
    <mergeCell ref="H2:H3"/>
    <mergeCell ref="A12:I12"/>
    <mergeCell ref="B13:C13"/>
    <mergeCell ref="E13:F13"/>
    <mergeCell ref="H13:I13"/>
    <mergeCell ref="H8:H9"/>
    <mergeCell ref="H10:H11"/>
    <mergeCell ref="F8:G9"/>
    <mergeCell ref="F10:G11"/>
    <mergeCell ref="A8:B9"/>
    <mergeCell ref="A10:B11"/>
    <mergeCell ref="D14:E14"/>
    <mergeCell ref="D15:E15"/>
    <mergeCell ref="D16:E16"/>
    <mergeCell ref="D17:E17"/>
    <mergeCell ref="D18:E18"/>
    <mergeCell ref="D19:E19"/>
    <mergeCell ref="G19:H19"/>
    <mergeCell ref="G20:H20"/>
    <mergeCell ref="G21:H21"/>
    <mergeCell ref="A20:B20"/>
    <mergeCell ref="A21:B21"/>
    <mergeCell ref="A22:B22"/>
    <mergeCell ref="D20:E20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Projekty</cp:lastModifiedBy>
  <dcterms:created xsi:type="dcterms:W3CDTF">2013-02-09T07:49:32Z</dcterms:created>
  <dcterms:modified xsi:type="dcterms:W3CDTF">2013-03-12T09:01:47Z</dcterms:modified>
  <cp:category/>
  <cp:version/>
  <cp:contentType/>
  <cp:contentStatus/>
</cp:coreProperties>
</file>