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ento_sešit" defaultThemeVersion="124226"/>
  <bookViews>
    <workbookView xWindow="360" yWindow="240" windowWidth="18780" windowHeight="12975" firstSheet="1" activeTab="1"/>
  </bookViews>
  <sheets>
    <sheet name="VzorPolozky" sheetId="8" state="hidden" r:id="rId1"/>
    <sheet name="RIN" sheetId="20" r:id="rId2"/>
    <sheet name="D1.1" sheetId="9" r:id="rId3"/>
    <sheet name="D.1.4.1" sheetId="11" r:id="rId4"/>
    <sheet name="D.1.4.2" sheetId="12" r:id="rId5"/>
    <sheet name="D.1.4.3" sheetId="13" r:id="rId6"/>
    <sheet name="D.1.4.4" sheetId="14" r:id="rId7"/>
    <sheet name="D.1.4.5" sheetId="15" r:id="rId8"/>
    <sheet name="VON" sheetId="16" r:id="rId9"/>
  </sheets>
  <externalReferences>
    <externalReference r:id="rId10"/>
    <externalReference r:id="rId11"/>
    <externalReference r:id="rId12"/>
  </externalReferences>
  <definedNames>
    <definedName name="_dph1" localSheetId="3">[1]List1!#REF!</definedName>
    <definedName name="_dph1" localSheetId="4">[1]List1!#REF!</definedName>
    <definedName name="_dph1" localSheetId="5">[1]List1!#REF!</definedName>
    <definedName name="_dph1" localSheetId="6">[1]List1!#REF!</definedName>
    <definedName name="_dph1" localSheetId="7">[1]List1!#REF!</definedName>
    <definedName name="_dph1">[1]List1!#REF!</definedName>
    <definedName name="_dph2" localSheetId="3">[1]List1!#REF!</definedName>
    <definedName name="_dph2" localSheetId="4">[1]List1!#REF!</definedName>
    <definedName name="_dph2" localSheetId="5">[1]List1!#REF!</definedName>
    <definedName name="_dph2" localSheetId="6">[1]List1!#REF!</definedName>
    <definedName name="_dph2" localSheetId="7">[1]List1!#REF!</definedName>
    <definedName name="_dph2">[1]List1!#REF!</definedName>
    <definedName name="_pol1" localSheetId="3">#REF!</definedName>
    <definedName name="_pol1" localSheetId="4">#REF!</definedName>
    <definedName name="_pol1" localSheetId="5">#REF!</definedName>
    <definedName name="_pol1" localSheetId="6">[2]D.1.4.5!#REF!</definedName>
    <definedName name="_pol1" localSheetId="7">D.1.4.5!#REF!</definedName>
    <definedName name="_pol1">#REF!</definedName>
    <definedName name="_pol2" localSheetId="3">#REF!</definedName>
    <definedName name="_pol2" localSheetId="4">#REF!</definedName>
    <definedName name="_pol2" localSheetId="5">#REF!</definedName>
    <definedName name="_pol2" localSheetId="6">[2]D.1.4.5!#REF!</definedName>
    <definedName name="_pol2" localSheetId="7">D.1.4.5!#REF!</definedName>
    <definedName name="_pol2">#REF!</definedName>
    <definedName name="_pol3" localSheetId="6">[2]D.1.4.5!#REF!</definedName>
    <definedName name="_pol3" localSheetId="7">D.1.4.5!#REF!</definedName>
    <definedName name="_pol3">#REF!</definedName>
    <definedName name="cisloobjektu" localSheetId="6">#REF!</definedName>
    <definedName name="cisloobjektu" localSheetId="7">#REF!</definedName>
    <definedName name="cisloobjektu" localSheetId="8">'[3]Krycí list'!$A$5</definedName>
    <definedName name="cisloobjektu">#REF!</definedName>
    <definedName name="CisloRozpoctu" localSheetId="6">#REF!</definedName>
    <definedName name="CisloRozpoctu" localSheetId="7">#REF!</definedName>
    <definedName name="CisloRozpoctu" localSheetId="8">'[3]Krycí list'!$C$2</definedName>
    <definedName name="CisloRozpoctu">#REF!</definedName>
    <definedName name="cislostavby" localSheetId="6">#REF!</definedName>
    <definedName name="cislostavby" localSheetId="7">#REF!</definedName>
    <definedName name="cislostavby" localSheetId="8">'[3]Krycí list'!$A$7</definedName>
    <definedName name="cislostavby">#REF!</definedName>
    <definedName name="Dil" localSheetId="6">#REF!</definedName>
    <definedName name="Dil" localSheetId="7">#REF!</definedName>
    <definedName name="Dil">#REF!</definedName>
    <definedName name="dph" localSheetId="3">[1]List1!#REF!</definedName>
    <definedName name="dph" localSheetId="4">[1]List1!#REF!</definedName>
    <definedName name="dph" localSheetId="5">[1]List1!#REF!</definedName>
    <definedName name="dph" localSheetId="6">[1]List1!#REF!</definedName>
    <definedName name="dph" localSheetId="7">[1]List1!#REF!</definedName>
    <definedName name="dph">[1]List1!#REF!</definedName>
    <definedName name="Excel_BuiltIn_Print_Area_2" localSheetId="7">D.1.4.5!$A$1:$E$181</definedName>
    <definedName name="Excel_BuiltIn_Print_Area_2">#REF!</definedName>
    <definedName name="Excel_BuiltIn_Print_Area_2_1" localSheetId="7">D.1.4.5!$A$1:$G$181</definedName>
    <definedName name="Excel_BuiltIn_Print_Area_2_1">#REF!</definedName>
    <definedName name="footer" localSheetId="3">[1]List1!#REF!</definedName>
    <definedName name="footer" localSheetId="4">[1]List1!#REF!</definedName>
    <definedName name="footer" localSheetId="5">[1]List1!#REF!</definedName>
    <definedName name="footer" localSheetId="6">[1]List1!#REF!</definedName>
    <definedName name="footer" localSheetId="7">[1]List1!#REF!</definedName>
    <definedName name="footer">[1]List1!#REF!</definedName>
    <definedName name="footer2" localSheetId="6">[2]D.1.4.5!#REF!</definedName>
    <definedName name="footer2" localSheetId="7">D.1.4.5!#REF!</definedName>
    <definedName name="footer2">#REF!</definedName>
    <definedName name="head1" localSheetId="3">[1]List1!#REF!</definedName>
    <definedName name="head1" localSheetId="4">[1]List1!#REF!</definedName>
    <definedName name="head1" localSheetId="5">[1]List1!#REF!</definedName>
    <definedName name="head1" localSheetId="6">[1]List1!#REF!</definedName>
    <definedName name="head1" localSheetId="7">[1]List1!#REF!</definedName>
    <definedName name="head1">[1]List1!#REF!</definedName>
    <definedName name="Header" localSheetId="3">[1]List1!#REF!</definedName>
    <definedName name="Header" localSheetId="4">[1]List1!#REF!</definedName>
    <definedName name="Header" localSheetId="5">[1]List1!#REF!</definedName>
    <definedName name="Header" localSheetId="6">[1]List1!#REF!</definedName>
    <definedName name="Header" localSheetId="7">[1]List1!#REF!</definedName>
    <definedName name="Header">[1]List1!#REF!</definedName>
    <definedName name="Header2" localSheetId="6">[2]D.1.4.5!#REF!</definedName>
    <definedName name="Header2" localSheetId="7">D.1.4.5!#REF!</definedName>
    <definedName name="Header2">#REF!</definedName>
    <definedName name="Hlava1" localSheetId="3">[1]List1!#REF!</definedName>
    <definedName name="Hlava1" localSheetId="4">[1]List1!#REF!</definedName>
    <definedName name="Hlava1" localSheetId="5">[1]List1!#REF!</definedName>
    <definedName name="Hlava1">[1]List1!#REF!</definedName>
    <definedName name="Hlava2" localSheetId="3">[1]List1!#REF!</definedName>
    <definedName name="Hlava2" localSheetId="4">[1]List1!#REF!</definedName>
    <definedName name="Hlava2" localSheetId="5">[1]List1!#REF!</definedName>
    <definedName name="Hlava2">[1]List1!#REF!</definedName>
    <definedName name="Hlava3" localSheetId="3">[1]List1!#REF!</definedName>
    <definedName name="Hlava3" localSheetId="4">[1]List1!#REF!</definedName>
    <definedName name="Hlava3" localSheetId="5">[1]List1!#REF!</definedName>
    <definedName name="Hlava3">[1]List1!#REF!</definedName>
    <definedName name="Hlava4" localSheetId="3">[1]List1!#REF!</definedName>
    <definedName name="Hlava4" localSheetId="4">[1]List1!#REF!</definedName>
    <definedName name="Hlava4" localSheetId="5">[1]List1!#REF!</definedName>
    <definedName name="Hlava4">[1]List1!#REF!</definedName>
    <definedName name="JKSO" localSheetId="3">#REF!</definedName>
    <definedName name="JKSO" localSheetId="4">#REF!</definedName>
    <definedName name="JKSO" localSheetId="5">#REF!</definedName>
    <definedName name="JKSO">#REF!</definedName>
    <definedName name="MJ" localSheetId="6">#REF!</definedName>
    <definedName name="MJ" localSheetId="7">#REF!</definedName>
    <definedName name="MJ">#REF!</definedName>
    <definedName name="NazevDilu" localSheetId="6">#REF!</definedName>
    <definedName name="NazevDilu" localSheetId="7">#REF!</definedName>
    <definedName name="NazevDilu">#REF!</definedName>
    <definedName name="nazevobjektu" localSheetId="6">#REF!</definedName>
    <definedName name="nazevobjektu" localSheetId="7">#REF!</definedName>
    <definedName name="nazevobjektu" localSheetId="8">'[3]Krycí list'!$C$5</definedName>
    <definedName name="nazevobjektu">#REF!</definedName>
    <definedName name="NazevRozpoctu" localSheetId="6">#REF!</definedName>
    <definedName name="NazevRozpoctu" localSheetId="7">#REF!</definedName>
    <definedName name="NazevRozpoctu" localSheetId="8">'[3]Krycí list'!$D$2</definedName>
    <definedName name="NazevRozpoctu">#REF!</definedName>
    <definedName name="nazevstavby" localSheetId="6">#REF!</definedName>
    <definedName name="nazevstavby" localSheetId="7">#REF!</definedName>
    <definedName name="nazevstavby" localSheetId="8">'[3]Krycí list'!$C$7</definedName>
    <definedName name="nazevstavby">#REF!</definedName>
    <definedName name="_xlnm.Print_Titles" localSheetId="5">D.1.4.3!$10:$12</definedName>
    <definedName name="Objednatel" localSheetId="3">#REF!</definedName>
    <definedName name="Objednatel" localSheetId="4">#REF!</definedName>
    <definedName name="Objednatel" localSheetId="5">#REF!</definedName>
    <definedName name="Objednatel" localSheetId="6">#REF!</definedName>
    <definedName name="Objednatel" localSheetId="7">#REF!</definedName>
    <definedName name="Objednatel">#REF!</definedName>
    <definedName name="_xlnm.Print_Area" localSheetId="3">D.1.4.1!$A$1:$M$133</definedName>
    <definedName name="_xlnm.Print_Area" localSheetId="6">D.1.4.4!$A$3:$L$152</definedName>
    <definedName name="_xlnm.Print_Area" localSheetId="7">D.1.4.5!$A$1:$G$172</definedName>
    <definedName name="_xlnm.Print_Area" localSheetId="2">D1.1!$A$1:$G$616</definedName>
    <definedName name="_xlnm.Print_Area" localSheetId="8">VON!$A$1:$G$32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>#REF!</definedName>
    <definedName name="polbezcen1" localSheetId="3">#REF!</definedName>
    <definedName name="polbezcen1" localSheetId="4">#REF!</definedName>
    <definedName name="polbezcen1" localSheetId="5">#REF!</definedName>
    <definedName name="polbezcen1" localSheetId="6">[2]D.1.4.5!#REF!</definedName>
    <definedName name="polbezcen1" localSheetId="7">D.1.4.5!#REF!</definedName>
    <definedName name="polbezcen1">#REF!</definedName>
    <definedName name="polcen2" localSheetId="3">#REF!</definedName>
    <definedName name="polcen2" localSheetId="4">#REF!</definedName>
    <definedName name="polcen2" localSheetId="5">#REF!</definedName>
    <definedName name="polcen2" localSheetId="6">[2]D.1.4.5!#REF!</definedName>
    <definedName name="polcen2" localSheetId="7">D.1.4.5!#REF!</definedName>
    <definedName name="polcen2">#REF!</definedName>
    <definedName name="polcen3" localSheetId="6">[2]D.1.4.5!#REF!</definedName>
    <definedName name="polcen3" localSheetId="7">D.1.4.5!#REF!</definedName>
    <definedName name="polcen3">#REF!</definedName>
    <definedName name="Poznamka" localSheetId="6">#REF!</definedName>
    <definedName name="Poznamka" localSheetId="7">[1]List1!#REF!</definedName>
    <definedName name="Poznamka">#REF!</definedName>
    <definedName name="Projektant" localSheetId="6">#REF!</definedName>
    <definedName name="Projektant" localSheetId="7">#REF!</definedName>
    <definedName name="Projektant">#REF!</definedName>
    <definedName name="Rozpoctoval" localSheetId="6">#REF!</definedName>
    <definedName name="Rozpoctoval" localSheetId="7">#REF!</definedName>
    <definedName name="Rozpoctoval">#REF!</definedName>
    <definedName name="SazbaDPH1" localSheetId="6">#REF!</definedName>
    <definedName name="SazbaDPH1" localSheetId="7">#REF!</definedName>
    <definedName name="SazbaDPH1" localSheetId="8">'[3]Krycí list'!$C$30</definedName>
    <definedName name="SazbaDPH1">#REF!</definedName>
    <definedName name="SazbaDPH2" localSheetId="6">#REF!</definedName>
    <definedName name="SazbaDPH2" localSheetId="7">#REF!</definedName>
    <definedName name="SazbaDPH2" localSheetId="8">'[3]Krycí list'!$C$32</definedName>
    <definedName name="SazbaDPH2">#REF!</definedName>
    <definedName name="SloupecCC" localSheetId="6">#REF!</definedName>
    <definedName name="SloupecCC" localSheetId="7">#REF!</definedName>
    <definedName name="SloupecCC" localSheetId="8">#REF!</definedName>
    <definedName name="SloupecCC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>#REF!</definedName>
    <definedName name="SloupecJC" localSheetId="6">#REF!</definedName>
    <definedName name="SloupecJC" localSheetId="7">#REF!</definedName>
    <definedName name="SloupecJC" localSheetId="8">#REF!</definedName>
    <definedName name="SloupecJC">#REF!</definedName>
    <definedName name="SloupecMJ" localSheetId="6">#REF!</definedName>
    <definedName name="SloupecMJ" localSheetId="7">#REF!</definedName>
    <definedName name="SloupecMJ" localSheetId="8">#REF!</definedName>
    <definedName name="SloupecMJ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>#REF!</definedName>
    <definedName name="SloupecPC" localSheetId="6">#REF!</definedName>
    <definedName name="SloupecPC" localSheetId="7">#REF!</definedName>
    <definedName name="SloupecPC" localSheetId="8">#REF!</definedName>
    <definedName name="SloupecPC">#REF!</definedName>
    <definedName name="Zakazka" localSheetId="6">#REF!</definedName>
    <definedName name="Zakazka" localSheetId="7">#REF!</definedName>
    <definedName name="Zakazka">#REF!</definedName>
    <definedName name="ZakHead" localSheetId="6">[1]List1!#REF!</definedName>
    <definedName name="ZakHead" localSheetId="7">[1]List1!#REF!</definedName>
    <definedName name="ZakHead">[1]List1!#REF!</definedName>
    <definedName name="Zaklad22" localSheetId="6">#REF!</definedName>
    <definedName name="Zaklad22" localSheetId="7">#REF!</definedName>
    <definedName name="Zaklad22">#REF!</definedName>
    <definedName name="Zaklad5" localSheetId="6">#REF!</definedName>
    <definedName name="Zaklad5" localSheetId="7">#REF!</definedName>
    <definedName name="Zaklad5">#REF!</definedName>
    <definedName name="Zaokrouhleni" localSheetId="6">#REF!</definedName>
    <definedName name="Zaokrouhleni" localSheetId="7">#REF!</definedName>
    <definedName name="Zaokrouhleni">#REF!</definedName>
    <definedName name="Zhotovitel" localSheetId="6">#REF!</definedName>
    <definedName name="Zhotovitel" localSheetId="7">#REF!</definedName>
    <definedName name="Zhotovitel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6" i="11"/>
  <c r="K132" l="1"/>
  <c r="AL33" i="16" l="1"/>
  <c r="AK33"/>
  <c r="BA32"/>
  <c r="G31"/>
  <c r="BA30"/>
  <c r="BA29"/>
  <c r="G28"/>
  <c r="BA27"/>
  <c r="G26"/>
  <c r="BA25"/>
  <c r="G24"/>
  <c r="BA23"/>
  <c r="G22"/>
  <c r="BA21"/>
  <c r="G20"/>
  <c r="G19"/>
  <c r="BA17"/>
  <c r="G16"/>
  <c r="BA15"/>
  <c r="G14"/>
  <c r="BA13"/>
  <c r="G12"/>
  <c r="BA10"/>
  <c r="BA9"/>
  <c r="G8"/>
  <c r="F7"/>
  <c r="G170" i="15"/>
  <c r="G169"/>
  <c r="G168"/>
  <c r="G167"/>
  <c r="G166"/>
  <c r="G165"/>
  <c r="G164"/>
  <c r="G163"/>
  <c r="G162"/>
  <c r="G161"/>
  <c r="G160"/>
  <c r="G171" s="1"/>
  <c r="G154"/>
  <c r="G153"/>
  <c r="G152"/>
  <c r="G151"/>
  <c r="G150"/>
  <c r="G149"/>
  <c r="G148"/>
  <c r="G147"/>
  <c r="G146"/>
  <c r="G145"/>
  <c r="G139"/>
  <c r="G138"/>
  <c r="G137"/>
  <c r="G136"/>
  <c r="G135"/>
  <c r="G134"/>
  <c r="G133"/>
  <c r="G132"/>
  <c r="G131"/>
  <c r="G130"/>
  <c r="G129"/>
  <c r="G128"/>
  <c r="G123"/>
  <c r="G122"/>
  <c r="G121"/>
  <c r="G120"/>
  <c r="G119"/>
  <c r="G118"/>
  <c r="G117"/>
  <c r="G116"/>
  <c r="G115"/>
  <c r="G114"/>
  <c r="G124" s="1"/>
  <c r="G108"/>
  <c r="G107"/>
  <c r="G106"/>
  <c r="G105"/>
  <c r="G104"/>
  <c r="G103"/>
  <c r="G102"/>
  <c r="G101"/>
  <c r="G100"/>
  <c r="G94"/>
  <c r="G93"/>
  <c r="G92"/>
  <c r="G91"/>
  <c r="G90"/>
  <c r="G89"/>
  <c r="G88"/>
  <c r="G87"/>
  <c r="G86"/>
  <c r="G85"/>
  <c r="G84"/>
  <c r="G83"/>
  <c r="G82"/>
  <c r="G76"/>
  <c r="G77" s="1"/>
  <c r="G70"/>
  <c r="G69"/>
  <c r="G63"/>
  <c r="G62"/>
  <c r="G61"/>
  <c r="G60"/>
  <c r="G59"/>
  <c r="G58"/>
  <c r="G57"/>
  <c r="G56"/>
  <c r="G55"/>
  <c r="G54"/>
  <c r="G53"/>
  <c r="G52"/>
  <c r="G51"/>
  <c r="G45"/>
  <c r="G44"/>
  <c r="G43"/>
  <c r="G42"/>
  <c r="G41"/>
  <c r="G40"/>
  <c r="G39"/>
  <c r="G38"/>
  <c r="G37"/>
  <c r="G36"/>
  <c r="G35"/>
  <c r="G34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29" s="1"/>
  <c r="G102" i="13"/>
  <c r="G101"/>
  <c r="G100"/>
  <c r="G99"/>
  <c r="G98"/>
  <c r="G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8"/>
  <c r="G57"/>
  <c r="G56"/>
  <c r="G55"/>
  <c r="G54"/>
  <c r="G53"/>
  <c r="G52" s="1"/>
  <c r="G51"/>
  <c r="G50"/>
  <c r="G49"/>
  <c r="G48" s="1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 s="1"/>
  <c r="AT53" i="12"/>
  <c r="AF53"/>
  <c r="AN53" s="1"/>
  <c r="AE53"/>
  <c r="AM53" s="1"/>
  <c r="AB53"/>
  <c r="AA53"/>
  <c r="X53"/>
  <c r="W53"/>
  <c r="V53"/>
  <c r="U53"/>
  <c r="T53"/>
  <c r="S53"/>
  <c r="R53"/>
  <c r="L53"/>
  <c r="AV53" s="1"/>
  <c r="J53"/>
  <c r="Z53" s="1"/>
  <c r="AI52" s="1"/>
  <c r="H53"/>
  <c r="AK52"/>
  <c r="AJ52"/>
  <c r="L52"/>
  <c r="H52"/>
  <c r="AT51"/>
  <c r="AF51"/>
  <c r="AN51" s="1"/>
  <c r="AE51"/>
  <c r="AM51" s="1"/>
  <c r="AS51" s="1"/>
  <c r="AB51"/>
  <c r="AA51"/>
  <c r="X51"/>
  <c r="W51"/>
  <c r="V51"/>
  <c r="S51"/>
  <c r="R51"/>
  <c r="P51"/>
  <c r="L51"/>
  <c r="AV51" s="1"/>
  <c r="J51"/>
  <c r="AT50"/>
  <c r="AF50"/>
  <c r="AN50" s="1"/>
  <c r="AE50"/>
  <c r="AM50" s="1"/>
  <c r="AS50" s="1"/>
  <c r="AB50"/>
  <c r="AK49" s="1"/>
  <c r="AA50"/>
  <c r="X50"/>
  <c r="W50"/>
  <c r="V50"/>
  <c r="S50"/>
  <c r="R50"/>
  <c r="P50"/>
  <c r="L50"/>
  <c r="AV50" s="1"/>
  <c r="J50"/>
  <c r="L49"/>
  <c r="AT48"/>
  <c r="AF48"/>
  <c r="AN48" s="1"/>
  <c r="AE48"/>
  <c r="H48" s="1"/>
  <c r="H47" s="1"/>
  <c r="AB48"/>
  <c r="AA48"/>
  <c r="AJ47" s="1"/>
  <c r="X48"/>
  <c r="W48"/>
  <c r="V48"/>
  <c r="S48"/>
  <c r="R48"/>
  <c r="P48"/>
  <c r="L48"/>
  <c r="L47" s="1"/>
  <c r="J48"/>
  <c r="Z48" s="1"/>
  <c r="AK47"/>
  <c r="AI47"/>
  <c r="AT46"/>
  <c r="AF46"/>
  <c r="AN46" s="1"/>
  <c r="AE46"/>
  <c r="AM46" s="1"/>
  <c r="AB46"/>
  <c r="AA46"/>
  <c r="X46"/>
  <c r="W46"/>
  <c r="V46"/>
  <c r="S46"/>
  <c r="R46"/>
  <c r="P46"/>
  <c r="L46"/>
  <c r="AV46" s="1"/>
  <c r="J46"/>
  <c r="H46"/>
  <c r="T46" s="1"/>
  <c r="AT45"/>
  <c r="AF45"/>
  <c r="AN45" s="1"/>
  <c r="AE45"/>
  <c r="AM45" s="1"/>
  <c r="AB45"/>
  <c r="AA45"/>
  <c r="X45"/>
  <c r="W45"/>
  <c r="V45"/>
  <c r="S45"/>
  <c r="R45"/>
  <c r="P45"/>
  <c r="L45"/>
  <c r="AV45" s="1"/>
  <c r="J45"/>
  <c r="AT44"/>
  <c r="AF44"/>
  <c r="AN44" s="1"/>
  <c r="AE44"/>
  <c r="AM44" s="1"/>
  <c r="AB44"/>
  <c r="AA44"/>
  <c r="X44"/>
  <c r="W44"/>
  <c r="V44"/>
  <c r="S44"/>
  <c r="R44"/>
  <c r="P44"/>
  <c r="L44"/>
  <c r="AV44" s="1"/>
  <c r="J44"/>
  <c r="AT43"/>
  <c r="AF43"/>
  <c r="AN43" s="1"/>
  <c r="AE43"/>
  <c r="AM43" s="1"/>
  <c r="AB43"/>
  <c r="AA43"/>
  <c r="X43"/>
  <c r="W43"/>
  <c r="V43"/>
  <c r="S43"/>
  <c r="R43"/>
  <c r="P43"/>
  <c r="L43"/>
  <c r="AV43" s="1"/>
  <c r="J43"/>
  <c r="H43"/>
  <c r="T43" s="1"/>
  <c r="AT42"/>
  <c r="AF42"/>
  <c r="AN42" s="1"/>
  <c r="AE42"/>
  <c r="AM42" s="1"/>
  <c r="AB42"/>
  <c r="AA42"/>
  <c r="X42"/>
  <c r="W42"/>
  <c r="V42"/>
  <c r="S42"/>
  <c r="R42"/>
  <c r="P42"/>
  <c r="L42"/>
  <c r="AV42" s="1"/>
  <c r="J42"/>
  <c r="H42"/>
  <c r="T42" s="1"/>
  <c r="AT41"/>
  <c r="AN41"/>
  <c r="AF41"/>
  <c r="AE41"/>
  <c r="AM41" s="1"/>
  <c r="AB41"/>
  <c r="AA41"/>
  <c r="X41"/>
  <c r="W41"/>
  <c r="V41"/>
  <c r="S41"/>
  <c r="R41"/>
  <c r="P41"/>
  <c r="L41"/>
  <c r="AV41" s="1"/>
  <c r="J41"/>
  <c r="AT40"/>
  <c r="AF40"/>
  <c r="AN40" s="1"/>
  <c r="AE40"/>
  <c r="AM40" s="1"/>
  <c r="AB40"/>
  <c r="AA40"/>
  <c r="X40"/>
  <c r="W40"/>
  <c r="V40"/>
  <c r="S40"/>
  <c r="R40"/>
  <c r="P40"/>
  <c r="L40"/>
  <c r="AV40" s="1"/>
  <c r="J40"/>
  <c r="Z40" s="1"/>
  <c r="AT39"/>
  <c r="AN39"/>
  <c r="AF39"/>
  <c r="AE39"/>
  <c r="AM39" s="1"/>
  <c r="AS39" s="1"/>
  <c r="AB39"/>
  <c r="AA39"/>
  <c r="X39"/>
  <c r="W39"/>
  <c r="V39"/>
  <c r="S39"/>
  <c r="R39"/>
  <c r="P39"/>
  <c r="L39"/>
  <c r="AV39" s="1"/>
  <c r="J39"/>
  <c r="AT38"/>
  <c r="AF38"/>
  <c r="AN38" s="1"/>
  <c r="AE38"/>
  <c r="AM38" s="1"/>
  <c r="AB38"/>
  <c r="AA38"/>
  <c r="X38"/>
  <c r="W38"/>
  <c r="V38"/>
  <c r="S38"/>
  <c r="R38"/>
  <c r="P38"/>
  <c r="L38"/>
  <c r="AV38" s="1"/>
  <c r="J38"/>
  <c r="Z38" s="1"/>
  <c r="H38"/>
  <c r="T38" s="1"/>
  <c r="AT37"/>
  <c r="AN37"/>
  <c r="AF37"/>
  <c r="AE37"/>
  <c r="AM37" s="1"/>
  <c r="AB37"/>
  <c r="AA37"/>
  <c r="X37"/>
  <c r="W37"/>
  <c r="V37"/>
  <c r="S37"/>
  <c r="R37"/>
  <c r="P37"/>
  <c r="L37"/>
  <c r="AV37" s="1"/>
  <c r="J37"/>
  <c r="AT36"/>
  <c r="AF36"/>
  <c r="AN36" s="1"/>
  <c r="AE36"/>
  <c r="AM36" s="1"/>
  <c r="AB36"/>
  <c r="AA36"/>
  <c r="X36"/>
  <c r="W36"/>
  <c r="V36"/>
  <c r="S36"/>
  <c r="R36"/>
  <c r="P36"/>
  <c r="L36"/>
  <c r="AV36" s="1"/>
  <c r="J36"/>
  <c r="Z36" s="1"/>
  <c r="H36"/>
  <c r="T36" s="1"/>
  <c r="AT35"/>
  <c r="AN35"/>
  <c r="AF35"/>
  <c r="AE35"/>
  <c r="AM35" s="1"/>
  <c r="AS35" s="1"/>
  <c r="AB35"/>
  <c r="AA35"/>
  <c r="X35"/>
  <c r="W35"/>
  <c r="V35"/>
  <c r="S35"/>
  <c r="R35"/>
  <c r="P35"/>
  <c r="L35"/>
  <c r="AV35" s="1"/>
  <c r="J35"/>
  <c r="Z35" s="1"/>
  <c r="AT34"/>
  <c r="AF34"/>
  <c r="AN34" s="1"/>
  <c r="AE34"/>
  <c r="AM34" s="1"/>
  <c r="AB34"/>
  <c r="AA34"/>
  <c r="X34"/>
  <c r="W34"/>
  <c r="V34"/>
  <c r="S34"/>
  <c r="R34"/>
  <c r="P34"/>
  <c r="L34"/>
  <c r="AV34" s="1"/>
  <c r="J34"/>
  <c r="Z34" s="1"/>
  <c r="AT33"/>
  <c r="AF33"/>
  <c r="AN33" s="1"/>
  <c r="AE33"/>
  <c r="AM33" s="1"/>
  <c r="AS33" s="1"/>
  <c r="AB33"/>
  <c r="AA33"/>
  <c r="X33"/>
  <c r="W33"/>
  <c r="V33"/>
  <c r="S33"/>
  <c r="R33"/>
  <c r="P33"/>
  <c r="L33"/>
  <c r="AV33" s="1"/>
  <c r="J33"/>
  <c r="Z33" s="1"/>
  <c r="AT32"/>
  <c r="AF32"/>
  <c r="AN32" s="1"/>
  <c r="AE32"/>
  <c r="AM32" s="1"/>
  <c r="AB32"/>
  <c r="AA32"/>
  <c r="X32"/>
  <c r="W32"/>
  <c r="V32"/>
  <c r="S32"/>
  <c r="R32"/>
  <c r="P32"/>
  <c r="L32"/>
  <c r="AV32" s="1"/>
  <c r="J32"/>
  <c r="Z32" s="1"/>
  <c r="AT31"/>
  <c r="AF31"/>
  <c r="AN31" s="1"/>
  <c r="AE31"/>
  <c r="AM31" s="1"/>
  <c r="AS31" s="1"/>
  <c r="AB31"/>
  <c r="AA31"/>
  <c r="X31"/>
  <c r="W31"/>
  <c r="V31"/>
  <c r="S31"/>
  <c r="R31"/>
  <c r="P31"/>
  <c r="L31"/>
  <c r="AV31" s="1"/>
  <c r="J31"/>
  <c r="Z31" s="1"/>
  <c r="AT30"/>
  <c r="AF30"/>
  <c r="AN30" s="1"/>
  <c r="AE30"/>
  <c r="AM30" s="1"/>
  <c r="AS30" s="1"/>
  <c r="AB30"/>
  <c r="AA30"/>
  <c r="X30"/>
  <c r="W30"/>
  <c r="V30"/>
  <c r="S30"/>
  <c r="R30"/>
  <c r="P30"/>
  <c r="L30"/>
  <c r="AV30" s="1"/>
  <c r="J30"/>
  <c r="Z30" s="1"/>
  <c r="AT29"/>
  <c r="AF29"/>
  <c r="AN29" s="1"/>
  <c r="AE29"/>
  <c r="AM29" s="1"/>
  <c r="AS29" s="1"/>
  <c r="AB29"/>
  <c r="AA29"/>
  <c r="X29"/>
  <c r="W29"/>
  <c r="V29"/>
  <c r="S29"/>
  <c r="R29"/>
  <c r="P29"/>
  <c r="L29"/>
  <c r="AV29" s="1"/>
  <c r="J29"/>
  <c r="Z29" s="1"/>
  <c r="AT28"/>
  <c r="AF28"/>
  <c r="AN28" s="1"/>
  <c r="AE28"/>
  <c r="AM28" s="1"/>
  <c r="AB28"/>
  <c r="AA28"/>
  <c r="X28"/>
  <c r="W28"/>
  <c r="V28"/>
  <c r="S28"/>
  <c r="R28"/>
  <c r="P28"/>
  <c r="L28"/>
  <c r="AV28" s="1"/>
  <c r="J28"/>
  <c r="Z28" s="1"/>
  <c r="AT27"/>
  <c r="AF27"/>
  <c r="AN27" s="1"/>
  <c r="AE27"/>
  <c r="AM27" s="1"/>
  <c r="AS27" s="1"/>
  <c r="AB27"/>
  <c r="AA27"/>
  <c r="X27"/>
  <c r="W27"/>
  <c r="V27"/>
  <c r="S27"/>
  <c r="R27"/>
  <c r="P27"/>
  <c r="L27"/>
  <c r="AV27" s="1"/>
  <c r="J27"/>
  <c r="Z27" s="1"/>
  <c r="AT26"/>
  <c r="AF26"/>
  <c r="AN26" s="1"/>
  <c r="AE26"/>
  <c r="AM26" s="1"/>
  <c r="AB26"/>
  <c r="AA26"/>
  <c r="X26"/>
  <c r="W26"/>
  <c r="V26"/>
  <c r="S26"/>
  <c r="R26"/>
  <c r="P26"/>
  <c r="L26"/>
  <c r="AV26" s="1"/>
  <c r="J26"/>
  <c r="AT25"/>
  <c r="AF25"/>
  <c r="AN25" s="1"/>
  <c r="AE25"/>
  <c r="AM25" s="1"/>
  <c r="AB25"/>
  <c r="AA25"/>
  <c r="X25"/>
  <c r="W25"/>
  <c r="V25"/>
  <c r="S25"/>
  <c r="R25"/>
  <c r="P25"/>
  <c r="L25"/>
  <c r="AV25" s="1"/>
  <c r="J25"/>
  <c r="Z25" s="1"/>
  <c r="L24"/>
  <c r="AT23"/>
  <c r="AF23"/>
  <c r="AN23" s="1"/>
  <c r="AE23"/>
  <c r="AM23" s="1"/>
  <c r="AB23"/>
  <c r="AK22" s="1"/>
  <c r="AA23"/>
  <c r="X23"/>
  <c r="W23"/>
  <c r="V23"/>
  <c r="U23"/>
  <c r="T23"/>
  <c r="P23"/>
  <c r="L23"/>
  <c r="AV23" s="1"/>
  <c r="J23"/>
  <c r="H23"/>
  <c r="R23" s="1"/>
  <c r="AJ22"/>
  <c r="L22"/>
  <c r="AT21"/>
  <c r="AF21"/>
  <c r="AN21" s="1"/>
  <c r="AE21"/>
  <c r="AM21" s="1"/>
  <c r="AS21" s="1"/>
  <c r="AB21"/>
  <c r="AA21"/>
  <c r="X21"/>
  <c r="W21"/>
  <c r="V21"/>
  <c r="U21"/>
  <c r="T21"/>
  <c r="P21"/>
  <c r="L21"/>
  <c r="AV21" s="1"/>
  <c r="J21"/>
  <c r="Z21" s="1"/>
  <c r="H21"/>
  <c r="R21" s="1"/>
  <c r="AT20"/>
  <c r="AF20"/>
  <c r="AN20" s="1"/>
  <c r="AE20"/>
  <c r="AM20" s="1"/>
  <c r="AB20"/>
  <c r="AA20"/>
  <c r="X20"/>
  <c r="W20"/>
  <c r="V20"/>
  <c r="U20"/>
  <c r="T20"/>
  <c r="P20"/>
  <c r="L20"/>
  <c r="AV20" s="1"/>
  <c r="J20"/>
  <c r="Z20" s="1"/>
  <c r="AT19"/>
  <c r="AF19"/>
  <c r="AN19" s="1"/>
  <c r="AE19"/>
  <c r="AM19" s="1"/>
  <c r="AB19"/>
  <c r="AK18" s="1"/>
  <c r="AA19"/>
  <c r="X19"/>
  <c r="W19"/>
  <c r="V19"/>
  <c r="U19"/>
  <c r="T19"/>
  <c r="P19"/>
  <c r="L19"/>
  <c r="AV19" s="1"/>
  <c r="J19"/>
  <c r="Z19" s="1"/>
  <c r="H19"/>
  <c r="R19" s="1"/>
  <c r="AJ18"/>
  <c r="L18"/>
  <c r="AT17"/>
  <c r="AF17"/>
  <c r="AN17" s="1"/>
  <c r="AE17"/>
  <c r="AM17" s="1"/>
  <c r="AB17"/>
  <c r="AA17"/>
  <c r="X17"/>
  <c r="W17"/>
  <c r="V17"/>
  <c r="U17"/>
  <c r="T17"/>
  <c r="P17"/>
  <c r="L17"/>
  <c r="AV17" s="1"/>
  <c r="J17"/>
  <c r="H17"/>
  <c r="R17" s="1"/>
  <c r="AT16"/>
  <c r="AF16"/>
  <c r="AN16" s="1"/>
  <c r="AE16"/>
  <c r="AM16" s="1"/>
  <c r="AB16"/>
  <c r="AA16"/>
  <c r="X16"/>
  <c r="W16"/>
  <c r="V16"/>
  <c r="U16"/>
  <c r="T16"/>
  <c r="P16"/>
  <c r="L16"/>
  <c r="AV16" s="1"/>
  <c r="J16"/>
  <c r="AT15"/>
  <c r="AF15"/>
  <c r="AN15" s="1"/>
  <c r="AE15"/>
  <c r="AM15" s="1"/>
  <c r="AB15"/>
  <c r="AK14" s="1"/>
  <c r="AA15"/>
  <c r="X15"/>
  <c r="W15"/>
  <c r="V15"/>
  <c r="U15"/>
  <c r="T15"/>
  <c r="P15"/>
  <c r="L15"/>
  <c r="AV15" s="1"/>
  <c r="J15"/>
  <c r="AJ14"/>
  <c r="L14"/>
  <c r="AT13"/>
  <c r="AF13"/>
  <c r="AN13" s="1"/>
  <c r="AE13"/>
  <c r="AM13" s="1"/>
  <c r="AS13" s="1"/>
  <c r="AB13"/>
  <c r="AA13"/>
  <c r="AJ12" s="1"/>
  <c r="X13"/>
  <c r="W13"/>
  <c r="V13"/>
  <c r="U13"/>
  <c r="T13"/>
  <c r="P13"/>
  <c r="L13"/>
  <c r="AV13" s="1"/>
  <c r="J13"/>
  <c r="Z13" s="1"/>
  <c r="AI12" s="1"/>
  <c r="AK12"/>
  <c r="L12"/>
  <c r="AR131" i="11"/>
  <c r="AD131"/>
  <c r="AL131" s="1"/>
  <c r="AC131"/>
  <c r="H131" s="1"/>
  <c r="H130" s="1"/>
  <c r="Z131"/>
  <c r="Y131"/>
  <c r="AH130" s="1"/>
  <c r="V131"/>
  <c r="U131"/>
  <c r="T131"/>
  <c r="S131"/>
  <c r="R131"/>
  <c r="Q131"/>
  <c r="P131"/>
  <c r="L131"/>
  <c r="J131"/>
  <c r="X131" s="1"/>
  <c r="AG130" s="1"/>
  <c r="AI130"/>
  <c r="AR129"/>
  <c r="AD129"/>
  <c r="AL129" s="1"/>
  <c r="AC129"/>
  <c r="AK129" s="1"/>
  <c r="Z129"/>
  <c r="AI128" s="1"/>
  <c r="Y129"/>
  <c r="AH128" s="1"/>
  <c r="V129"/>
  <c r="U129"/>
  <c r="T129"/>
  <c r="S129"/>
  <c r="R129"/>
  <c r="Q129"/>
  <c r="P129"/>
  <c r="L129"/>
  <c r="AT129" s="1"/>
  <c r="J129"/>
  <c r="H129"/>
  <c r="H128" s="1"/>
  <c r="L128"/>
  <c r="AT127"/>
  <c r="AR127"/>
  <c r="AD127"/>
  <c r="AL127" s="1"/>
  <c r="AC127"/>
  <c r="H127" s="1"/>
  <c r="Z127"/>
  <c r="Y127"/>
  <c r="AH126" s="1"/>
  <c r="V127"/>
  <c r="U127"/>
  <c r="T127"/>
  <c r="S127"/>
  <c r="R127"/>
  <c r="Q127"/>
  <c r="P127"/>
  <c r="L127"/>
  <c r="L126" s="1"/>
  <c r="J127"/>
  <c r="X127" s="1"/>
  <c r="AG126" s="1"/>
  <c r="AI126"/>
  <c r="H126"/>
  <c r="AR125"/>
  <c r="AD125"/>
  <c r="AL125" s="1"/>
  <c r="AC125"/>
  <c r="AK125" s="1"/>
  <c r="Z125"/>
  <c r="AI124" s="1"/>
  <c r="Y125"/>
  <c r="AH124" s="1"/>
  <c r="V125"/>
  <c r="U125"/>
  <c r="T125"/>
  <c r="S125"/>
  <c r="R125"/>
  <c r="Q125"/>
  <c r="P125"/>
  <c r="L125"/>
  <c r="AT125" s="1"/>
  <c r="J125"/>
  <c r="H125"/>
  <c r="H124" s="1"/>
  <c r="L124"/>
  <c r="AR123"/>
  <c r="AD123"/>
  <c r="AL123" s="1"/>
  <c r="AC123"/>
  <c r="H123" s="1"/>
  <c r="Z123"/>
  <c r="AI122" s="1"/>
  <c r="Y123"/>
  <c r="AH122" s="1"/>
  <c r="V123"/>
  <c r="U123"/>
  <c r="T123"/>
  <c r="S123"/>
  <c r="R123"/>
  <c r="Q123"/>
  <c r="P123"/>
  <c r="N123"/>
  <c r="L123"/>
  <c r="L122" s="1"/>
  <c r="J123"/>
  <c r="X123" s="1"/>
  <c r="AG122" s="1"/>
  <c r="AR121"/>
  <c r="AD121"/>
  <c r="AL121" s="1"/>
  <c r="AC121"/>
  <c r="AK121" s="1"/>
  <c r="Z121"/>
  <c r="Y121"/>
  <c r="V121"/>
  <c r="U121"/>
  <c r="T121"/>
  <c r="S121"/>
  <c r="R121"/>
  <c r="Q121"/>
  <c r="P121"/>
  <c r="N121"/>
  <c r="L121"/>
  <c r="AT121" s="1"/>
  <c r="J121"/>
  <c r="H121"/>
  <c r="AR120"/>
  <c r="AD120"/>
  <c r="AL120" s="1"/>
  <c r="AC120"/>
  <c r="AK120" s="1"/>
  <c r="Z120"/>
  <c r="Y120"/>
  <c r="V120"/>
  <c r="U120"/>
  <c r="T120"/>
  <c r="S120"/>
  <c r="R120"/>
  <c r="Q120"/>
  <c r="P120"/>
  <c r="N120"/>
  <c r="L120"/>
  <c r="AT120" s="1"/>
  <c r="J120"/>
  <c r="H120"/>
  <c r="AR119"/>
  <c r="AD119"/>
  <c r="AL119" s="1"/>
  <c r="AC119"/>
  <c r="AK119" s="1"/>
  <c r="Z119"/>
  <c r="Y119"/>
  <c r="V119"/>
  <c r="U119"/>
  <c r="T119"/>
  <c r="S119"/>
  <c r="R119"/>
  <c r="Q119"/>
  <c r="P119"/>
  <c r="N119"/>
  <c r="L119"/>
  <c r="AT119" s="1"/>
  <c r="J119"/>
  <c r="H119"/>
  <c r="AR118"/>
  <c r="AD118"/>
  <c r="AL118" s="1"/>
  <c r="AC118"/>
  <c r="AK118" s="1"/>
  <c r="Z118"/>
  <c r="Y118"/>
  <c r="V118"/>
  <c r="U118"/>
  <c r="T118"/>
  <c r="S118"/>
  <c r="R118"/>
  <c r="Q118"/>
  <c r="P118"/>
  <c r="N118"/>
  <c r="L118"/>
  <c r="AT118" s="1"/>
  <c r="J118"/>
  <c r="AR117"/>
  <c r="AD117"/>
  <c r="AL117" s="1"/>
  <c r="AC117"/>
  <c r="AK117" s="1"/>
  <c r="Z117"/>
  <c r="Y117"/>
  <c r="V117"/>
  <c r="U117"/>
  <c r="T117"/>
  <c r="S117"/>
  <c r="R117"/>
  <c r="Q117"/>
  <c r="P117"/>
  <c r="N117"/>
  <c r="L117"/>
  <c r="AT117" s="1"/>
  <c r="J117"/>
  <c r="H117"/>
  <c r="AR116"/>
  <c r="AD116"/>
  <c r="AL116" s="1"/>
  <c r="AC116"/>
  <c r="AK116" s="1"/>
  <c r="Z116"/>
  <c r="Y116"/>
  <c r="V116"/>
  <c r="U116"/>
  <c r="T116"/>
  <c r="S116"/>
  <c r="R116"/>
  <c r="Q116"/>
  <c r="P116"/>
  <c r="N116"/>
  <c r="L116"/>
  <c r="AT116" s="1"/>
  <c r="J116"/>
  <c r="H116"/>
  <c r="AR115"/>
  <c r="AD115"/>
  <c r="AL115" s="1"/>
  <c r="AC115"/>
  <c r="AK115" s="1"/>
  <c r="Z115"/>
  <c r="Y115"/>
  <c r="V115"/>
  <c r="U115"/>
  <c r="T115"/>
  <c r="S115"/>
  <c r="R115"/>
  <c r="Q115"/>
  <c r="P115"/>
  <c r="N115"/>
  <c r="L115"/>
  <c r="AT115" s="1"/>
  <c r="J115"/>
  <c r="AR114"/>
  <c r="AD114"/>
  <c r="AL114" s="1"/>
  <c r="AC114"/>
  <c r="AK114" s="1"/>
  <c r="Z114"/>
  <c r="Y114"/>
  <c r="V114"/>
  <c r="U114"/>
  <c r="T114"/>
  <c r="S114"/>
  <c r="R114"/>
  <c r="Q114"/>
  <c r="P114"/>
  <c r="N114"/>
  <c r="L114"/>
  <c r="AT114" s="1"/>
  <c r="J114"/>
  <c r="AR113"/>
  <c r="AD113"/>
  <c r="AL113" s="1"/>
  <c r="AC113"/>
  <c r="AK113" s="1"/>
  <c r="Z113"/>
  <c r="Y113"/>
  <c r="V113"/>
  <c r="U113"/>
  <c r="T113"/>
  <c r="S113"/>
  <c r="R113"/>
  <c r="Q113"/>
  <c r="P113"/>
  <c r="N113"/>
  <c r="L113"/>
  <c r="AT113" s="1"/>
  <c r="J113"/>
  <c r="AR112"/>
  <c r="AD112"/>
  <c r="AL112" s="1"/>
  <c r="AC112"/>
  <c r="AK112" s="1"/>
  <c r="Z112"/>
  <c r="Y112"/>
  <c r="V112"/>
  <c r="U112"/>
  <c r="T112"/>
  <c r="S112"/>
  <c r="R112"/>
  <c r="Q112"/>
  <c r="P112"/>
  <c r="N112"/>
  <c r="L112"/>
  <c r="AT112" s="1"/>
  <c r="J112"/>
  <c r="AR111"/>
  <c r="AD111"/>
  <c r="AL111" s="1"/>
  <c r="AC111"/>
  <c r="AK111" s="1"/>
  <c r="Z111"/>
  <c r="Y111"/>
  <c r="V111"/>
  <c r="U111"/>
  <c r="T111"/>
  <c r="S111"/>
  <c r="R111"/>
  <c r="Q111"/>
  <c r="P111"/>
  <c r="N111"/>
  <c r="L111"/>
  <c r="AT111" s="1"/>
  <c r="J111"/>
  <c r="AR110"/>
  <c r="AD110"/>
  <c r="AL110" s="1"/>
  <c r="AC110"/>
  <c r="AK110" s="1"/>
  <c r="Z110"/>
  <c r="Y110"/>
  <c r="V110"/>
  <c r="U110"/>
  <c r="T110"/>
  <c r="S110"/>
  <c r="R110"/>
  <c r="Q110"/>
  <c r="P110"/>
  <c r="N110"/>
  <c r="L110"/>
  <c r="AT110" s="1"/>
  <c r="J110"/>
  <c r="AR109"/>
  <c r="AD109"/>
  <c r="AL109" s="1"/>
  <c r="AC109"/>
  <c r="H109" s="1"/>
  <c r="Z109"/>
  <c r="Y109"/>
  <c r="V109"/>
  <c r="U109"/>
  <c r="T109"/>
  <c r="S109"/>
  <c r="R109"/>
  <c r="Q109"/>
  <c r="P109"/>
  <c r="N109"/>
  <c r="L109"/>
  <c r="AT109" s="1"/>
  <c r="J109"/>
  <c r="X109" s="1"/>
  <c r="AR108"/>
  <c r="AD108"/>
  <c r="AL108" s="1"/>
  <c r="AC108"/>
  <c r="H108" s="1"/>
  <c r="Z108"/>
  <c r="Y108"/>
  <c r="V108"/>
  <c r="U108"/>
  <c r="T108"/>
  <c r="S108"/>
  <c r="R108"/>
  <c r="Q108"/>
  <c r="P108"/>
  <c r="N108"/>
  <c r="L108"/>
  <c r="AT108" s="1"/>
  <c r="J108"/>
  <c r="X108" s="1"/>
  <c r="AR107"/>
  <c r="AD107"/>
  <c r="AL107" s="1"/>
  <c r="AC107"/>
  <c r="H107" s="1"/>
  <c r="Z107"/>
  <c r="Y107"/>
  <c r="V107"/>
  <c r="U107"/>
  <c r="T107"/>
  <c r="S107"/>
  <c r="R107"/>
  <c r="Q107"/>
  <c r="P107"/>
  <c r="N107"/>
  <c r="L107"/>
  <c r="AT107" s="1"/>
  <c r="J107"/>
  <c r="X107" s="1"/>
  <c r="AR106"/>
  <c r="AD106"/>
  <c r="AL106" s="1"/>
  <c r="AC106"/>
  <c r="H106" s="1"/>
  <c r="Z106"/>
  <c r="Y106"/>
  <c r="V106"/>
  <c r="U106"/>
  <c r="T106"/>
  <c r="S106"/>
  <c r="R106"/>
  <c r="Q106"/>
  <c r="P106"/>
  <c r="N106"/>
  <c r="L106"/>
  <c r="AT106" s="1"/>
  <c r="J106"/>
  <c r="X106" s="1"/>
  <c r="AR105"/>
  <c r="AD105"/>
  <c r="AL105" s="1"/>
  <c r="AC105"/>
  <c r="H105" s="1"/>
  <c r="Z105"/>
  <c r="Y105"/>
  <c r="V105"/>
  <c r="U105"/>
  <c r="T105"/>
  <c r="S105"/>
  <c r="R105"/>
  <c r="Q105"/>
  <c r="P105"/>
  <c r="N105"/>
  <c r="L105"/>
  <c r="AT105" s="1"/>
  <c r="J105"/>
  <c r="X105" s="1"/>
  <c r="I105"/>
  <c r="AR104"/>
  <c r="AD104"/>
  <c r="AL104" s="1"/>
  <c r="AC104"/>
  <c r="H104" s="1"/>
  <c r="Z104"/>
  <c r="Y104"/>
  <c r="V104"/>
  <c r="U104"/>
  <c r="T104"/>
  <c r="S104"/>
  <c r="R104"/>
  <c r="Q104"/>
  <c r="P104"/>
  <c r="N104"/>
  <c r="L104"/>
  <c r="AT104" s="1"/>
  <c r="J104"/>
  <c r="X104" s="1"/>
  <c r="AR103"/>
  <c r="AD103"/>
  <c r="AL103" s="1"/>
  <c r="AC103"/>
  <c r="H103" s="1"/>
  <c r="Z103"/>
  <c r="Y103"/>
  <c r="V103"/>
  <c r="U103"/>
  <c r="T103"/>
  <c r="S103"/>
  <c r="R103"/>
  <c r="Q103"/>
  <c r="P103"/>
  <c r="N103"/>
  <c r="L103"/>
  <c r="AT103" s="1"/>
  <c r="J103"/>
  <c r="X103" s="1"/>
  <c r="AR102"/>
  <c r="AD102"/>
  <c r="AL102" s="1"/>
  <c r="AC102"/>
  <c r="H102" s="1"/>
  <c r="Z102"/>
  <c r="Y102"/>
  <c r="V102"/>
  <c r="U102"/>
  <c r="T102"/>
  <c r="S102"/>
  <c r="R102"/>
  <c r="Q102"/>
  <c r="P102"/>
  <c r="N102"/>
  <c r="L102"/>
  <c r="AT102" s="1"/>
  <c r="J102"/>
  <c r="X102" s="1"/>
  <c r="AR101"/>
  <c r="AD101"/>
  <c r="AL101" s="1"/>
  <c r="AC101"/>
  <c r="H101" s="1"/>
  <c r="Z101"/>
  <c r="Y101"/>
  <c r="V101"/>
  <c r="U101"/>
  <c r="T101"/>
  <c r="S101"/>
  <c r="R101"/>
  <c r="Q101"/>
  <c r="P101"/>
  <c r="N101"/>
  <c r="L101"/>
  <c r="AT101" s="1"/>
  <c r="J101"/>
  <c r="X101" s="1"/>
  <c r="I101"/>
  <c r="AR100"/>
  <c r="AD100"/>
  <c r="AL100" s="1"/>
  <c r="AC100"/>
  <c r="H100" s="1"/>
  <c r="Z100"/>
  <c r="Y100"/>
  <c r="V100"/>
  <c r="U100"/>
  <c r="T100"/>
  <c r="S100"/>
  <c r="R100"/>
  <c r="Q100"/>
  <c r="P100"/>
  <c r="N100"/>
  <c r="L100"/>
  <c r="AT100" s="1"/>
  <c r="J100"/>
  <c r="X100" s="1"/>
  <c r="AR99"/>
  <c r="AD99"/>
  <c r="AL99" s="1"/>
  <c r="AC99"/>
  <c r="H99" s="1"/>
  <c r="Z99"/>
  <c r="Y99"/>
  <c r="V99"/>
  <c r="U99"/>
  <c r="T99"/>
  <c r="S99"/>
  <c r="R99"/>
  <c r="Q99"/>
  <c r="P99"/>
  <c r="N99"/>
  <c r="L99"/>
  <c r="AT99" s="1"/>
  <c r="J99"/>
  <c r="X99" s="1"/>
  <c r="AR98"/>
  <c r="AD98"/>
  <c r="AL98" s="1"/>
  <c r="AC98"/>
  <c r="H98" s="1"/>
  <c r="Z98"/>
  <c r="Y98"/>
  <c r="V98"/>
  <c r="U98"/>
  <c r="T98"/>
  <c r="S98"/>
  <c r="R98"/>
  <c r="Q98"/>
  <c r="P98"/>
  <c r="N98"/>
  <c r="L98"/>
  <c r="AT98" s="1"/>
  <c r="J98"/>
  <c r="X98" s="1"/>
  <c r="AR97"/>
  <c r="AD97"/>
  <c r="AL97" s="1"/>
  <c r="AC97"/>
  <c r="H97" s="1"/>
  <c r="I97" s="1"/>
  <c r="Z97"/>
  <c r="Y97"/>
  <c r="V97"/>
  <c r="U97"/>
  <c r="T97"/>
  <c r="S97"/>
  <c r="R97"/>
  <c r="Q97"/>
  <c r="P97"/>
  <c r="N97"/>
  <c r="L97"/>
  <c r="AT97" s="1"/>
  <c r="J97"/>
  <c r="X97" s="1"/>
  <c r="AR96"/>
  <c r="AD96"/>
  <c r="AL96" s="1"/>
  <c r="AC96"/>
  <c r="H96" s="1"/>
  <c r="Z96"/>
  <c r="Y96"/>
  <c r="V96"/>
  <c r="U96"/>
  <c r="T96"/>
  <c r="S96"/>
  <c r="R96"/>
  <c r="Q96"/>
  <c r="P96"/>
  <c r="N96"/>
  <c r="AT96"/>
  <c r="J96"/>
  <c r="X96" s="1"/>
  <c r="AR95"/>
  <c r="AD95"/>
  <c r="AL95" s="1"/>
  <c r="AC95"/>
  <c r="H95" s="1"/>
  <c r="Z95"/>
  <c r="Y95"/>
  <c r="V95"/>
  <c r="U95"/>
  <c r="T95"/>
  <c r="S95"/>
  <c r="R95"/>
  <c r="Q95"/>
  <c r="P95"/>
  <c r="N95"/>
  <c r="L95"/>
  <c r="AT95" s="1"/>
  <c r="J95"/>
  <c r="X95" s="1"/>
  <c r="AR94"/>
  <c r="AD94"/>
  <c r="AL94" s="1"/>
  <c r="AC94"/>
  <c r="H94" s="1"/>
  <c r="Z94"/>
  <c r="AI91" s="1"/>
  <c r="Y94"/>
  <c r="V94"/>
  <c r="U94"/>
  <c r="T94"/>
  <c r="S94"/>
  <c r="R94"/>
  <c r="Q94"/>
  <c r="P94"/>
  <c r="N94"/>
  <c r="L94"/>
  <c r="AT94" s="1"/>
  <c r="J94"/>
  <c r="X94" s="1"/>
  <c r="AR93"/>
  <c r="AD93"/>
  <c r="AL93" s="1"/>
  <c r="AC93"/>
  <c r="H93" s="1"/>
  <c r="I93" s="1"/>
  <c r="Z93"/>
  <c r="Y93"/>
  <c r="V93"/>
  <c r="U93"/>
  <c r="T93"/>
  <c r="S93"/>
  <c r="R93"/>
  <c r="Q93"/>
  <c r="P93"/>
  <c r="N93"/>
  <c r="L93"/>
  <c r="AT93" s="1"/>
  <c r="J93"/>
  <c r="X93" s="1"/>
  <c r="AR92"/>
  <c r="AD92"/>
  <c r="AL92" s="1"/>
  <c r="AC92"/>
  <c r="H92" s="1"/>
  <c r="Z92"/>
  <c r="Y92"/>
  <c r="V92"/>
  <c r="U92"/>
  <c r="T92"/>
  <c r="S92"/>
  <c r="R92"/>
  <c r="Q92"/>
  <c r="P92"/>
  <c r="N92"/>
  <c r="L92"/>
  <c r="J92"/>
  <c r="X92" s="1"/>
  <c r="AR89"/>
  <c r="AD89"/>
  <c r="AL89" s="1"/>
  <c r="AC89"/>
  <c r="AK89" s="1"/>
  <c r="Z89"/>
  <c r="Y89"/>
  <c r="V89"/>
  <c r="U89"/>
  <c r="T89"/>
  <c r="S89"/>
  <c r="R89"/>
  <c r="Q89"/>
  <c r="P89"/>
  <c r="N89"/>
  <c r="L89"/>
  <c r="AT89" s="1"/>
  <c r="J89"/>
  <c r="H89"/>
  <c r="AR87"/>
  <c r="AD87"/>
  <c r="AL87" s="1"/>
  <c r="AC87"/>
  <c r="AK87" s="1"/>
  <c r="Z87"/>
  <c r="Y87"/>
  <c r="V87"/>
  <c r="U87"/>
  <c r="T87"/>
  <c r="S87"/>
  <c r="R87"/>
  <c r="Q87"/>
  <c r="P87"/>
  <c r="N87"/>
  <c r="L87"/>
  <c r="AT87" s="1"/>
  <c r="J87"/>
  <c r="H87"/>
  <c r="AR86"/>
  <c r="AD86"/>
  <c r="AL86" s="1"/>
  <c r="AC86"/>
  <c r="AK86" s="1"/>
  <c r="Z86"/>
  <c r="Y86"/>
  <c r="V86"/>
  <c r="U86"/>
  <c r="T86"/>
  <c r="S86"/>
  <c r="R86"/>
  <c r="Q86"/>
  <c r="P86"/>
  <c r="N86"/>
  <c r="L86"/>
  <c r="AT86" s="1"/>
  <c r="J86"/>
  <c r="H86"/>
  <c r="AR85"/>
  <c r="AD85"/>
  <c r="AL85" s="1"/>
  <c r="AC85"/>
  <c r="AK85" s="1"/>
  <c r="Z85"/>
  <c r="Y85"/>
  <c r="V85"/>
  <c r="U85"/>
  <c r="T85"/>
  <c r="S85"/>
  <c r="R85"/>
  <c r="Q85"/>
  <c r="P85"/>
  <c r="N85"/>
  <c r="L85"/>
  <c r="AT85" s="1"/>
  <c r="J85"/>
  <c r="H85"/>
  <c r="AR84"/>
  <c r="AD84"/>
  <c r="AL84" s="1"/>
  <c r="AC84"/>
  <c r="AK84" s="1"/>
  <c r="Z84"/>
  <c r="Y84"/>
  <c r="V84"/>
  <c r="U84"/>
  <c r="T84"/>
  <c r="S84"/>
  <c r="R84"/>
  <c r="Q84"/>
  <c r="P84"/>
  <c r="N84"/>
  <c r="L84"/>
  <c r="AT84" s="1"/>
  <c r="J84"/>
  <c r="H84"/>
  <c r="AR83"/>
  <c r="AD83"/>
  <c r="AL83" s="1"/>
  <c r="AC83"/>
  <c r="AK83" s="1"/>
  <c r="Z83"/>
  <c r="Y83"/>
  <c r="V83"/>
  <c r="U83"/>
  <c r="T83"/>
  <c r="S83"/>
  <c r="R83"/>
  <c r="Q83"/>
  <c r="P83"/>
  <c r="N83"/>
  <c r="L83"/>
  <c r="AT83" s="1"/>
  <c r="J83"/>
  <c r="H83"/>
  <c r="AR82"/>
  <c r="AD82"/>
  <c r="AL82" s="1"/>
  <c r="AC82"/>
  <c r="AK82" s="1"/>
  <c r="Z82"/>
  <c r="Y82"/>
  <c r="V82"/>
  <c r="U82"/>
  <c r="T82"/>
  <c r="S82"/>
  <c r="R82"/>
  <c r="Q82"/>
  <c r="P82"/>
  <c r="N82"/>
  <c r="L82"/>
  <c r="AT82" s="1"/>
  <c r="J82"/>
  <c r="AR81"/>
  <c r="AD81"/>
  <c r="AL81" s="1"/>
  <c r="AC81"/>
  <c r="AK81" s="1"/>
  <c r="Z81"/>
  <c r="Y81"/>
  <c r="V81"/>
  <c r="U81"/>
  <c r="T81"/>
  <c r="S81"/>
  <c r="R81"/>
  <c r="Q81"/>
  <c r="P81"/>
  <c r="N81"/>
  <c r="L81"/>
  <c r="AT81" s="1"/>
  <c r="J81"/>
  <c r="AR80"/>
  <c r="AD80"/>
  <c r="AL80" s="1"/>
  <c r="AC80"/>
  <c r="AK80" s="1"/>
  <c r="Z80"/>
  <c r="Y80"/>
  <c r="V80"/>
  <c r="U80"/>
  <c r="T80"/>
  <c r="S80"/>
  <c r="R80"/>
  <c r="Q80"/>
  <c r="P80"/>
  <c r="N80"/>
  <c r="L80"/>
  <c r="AT80" s="1"/>
  <c r="J80"/>
  <c r="AR79"/>
  <c r="AD79"/>
  <c r="AL79" s="1"/>
  <c r="AC79"/>
  <c r="AK79" s="1"/>
  <c r="Z79"/>
  <c r="Y79"/>
  <c r="V79"/>
  <c r="U79"/>
  <c r="T79"/>
  <c r="S79"/>
  <c r="R79"/>
  <c r="Q79"/>
  <c r="P79"/>
  <c r="N79"/>
  <c r="L79"/>
  <c r="AT79" s="1"/>
  <c r="J79"/>
  <c r="AR78"/>
  <c r="AD78"/>
  <c r="AL78" s="1"/>
  <c r="AC78"/>
  <c r="AK78" s="1"/>
  <c r="Z78"/>
  <c r="Y78"/>
  <c r="V78"/>
  <c r="U78"/>
  <c r="T78"/>
  <c r="S78"/>
  <c r="R78"/>
  <c r="Q78"/>
  <c r="P78"/>
  <c r="N78"/>
  <c r="L78"/>
  <c r="AT78" s="1"/>
  <c r="J78"/>
  <c r="AR77"/>
  <c r="AD77"/>
  <c r="AL77" s="1"/>
  <c r="AC77"/>
  <c r="AK77" s="1"/>
  <c r="Z77"/>
  <c r="Y77"/>
  <c r="V77"/>
  <c r="U77"/>
  <c r="T77"/>
  <c r="S77"/>
  <c r="R77"/>
  <c r="Q77"/>
  <c r="P77"/>
  <c r="N77"/>
  <c r="L77"/>
  <c r="AT77" s="1"/>
  <c r="J77"/>
  <c r="AR76"/>
  <c r="AD76"/>
  <c r="AL76" s="1"/>
  <c r="AC76"/>
  <c r="AK76" s="1"/>
  <c r="Z76"/>
  <c r="Y76"/>
  <c r="V76"/>
  <c r="U76"/>
  <c r="T76"/>
  <c r="S76"/>
  <c r="R76"/>
  <c r="Q76"/>
  <c r="P76"/>
  <c r="N76"/>
  <c r="L76"/>
  <c r="AT76" s="1"/>
  <c r="J76"/>
  <c r="AR75"/>
  <c r="AD75"/>
  <c r="AL75" s="1"/>
  <c r="AC75"/>
  <c r="AK75" s="1"/>
  <c r="Z75"/>
  <c r="Y75"/>
  <c r="V75"/>
  <c r="U75"/>
  <c r="T75"/>
  <c r="S75"/>
  <c r="R75"/>
  <c r="Q75"/>
  <c r="P75"/>
  <c r="N75"/>
  <c r="L75"/>
  <c r="AT75" s="1"/>
  <c r="J75"/>
  <c r="AR74"/>
  <c r="AD74"/>
  <c r="AL74" s="1"/>
  <c r="AC74"/>
  <c r="AK74" s="1"/>
  <c r="Z74"/>
  <c r="Y74"/>
  <c r="V74"/>
  <c r="U74"/>
  <c r="T74"/>
  <c r="S74"/>
  <c r="R74"/>
  <c r="Q74"/>
  <c r="P74"/>
  <c r="N74"/>
  <c r="L74"/>
  <c r="AT74" s="1"/>
  <c r="J74"/>
  <c r="AR73"/>
  <c r="AD73"/>
  <c r="AL73" s="1"/>
  <c r="AC73"/>
  <c r="AK73" s="1"/>
  <c r="Z73"/>
  <c r="Y73"/>
  <c r="V73"/>
  <c r="U73"/>
  <c r="T73"/>
  <c r="S73"/>
  <c r="R73"/>
  <c r="Q73"/>
  <c r="P73"/>
  <c r="N73"/>
  <c r="L73"/>
  <c r="AT73" s="1"/>
  <c r="J73"/>
  <c r="AR72"/>
  <c r="AD72"/>
  <c r="AL72" s="1"/>
  <c r="AC72"/>
  <c r="AK72" s="1"/>
  <c r="Z72"/>
  <c r="Y72"/>
  <c r="V72"/>
  <c r="U72"/>
  <c r="T72"/>
  <c r="S72"/>
  <c r="R72"/>
  <c r="Q72"/>
  <c r="P72"/>
  <c r="N72"/>
  <c r="L72"/>
  <c r="AT72" s="1"/>
  <c r="J72"/>
  <c r="AR71"/>
  <c r="AD71"/>
  <c r="AL71" s="1"/>
  <c r="AC71"/>
  <c r="AK71" s="1"/>
  <c r="Z71"/>
  <c r="Y71"/>
  <c r="V71"/>
  <c r="U71"/>
  <c r="T71"/>
  <c r="S71"/>
  <c r="R71"/>
  <c r="Q71"/>
  <c r="P71"/>
  <c r="N71"/>
  <c r="L71"/>
  <c r="AT71" s="1"/>
  <c r="J71"/>
  <c r="AR70"/>
  <c r="AD70"/>
  <c r="AL70" s="1"/>
  <c r="AC70"/>
  <c r="H70" s="1"/>
  <c r="Z70"/>
  <c r="Y70"/>
  <c r="V70"/>
  <c r="U70"/>
  <c r="T70"/>
  <c r="S70"/>
  <c r="R70"/>
  <c r="Q70"/>
  <c r="P70"/>
  <c r="N70"/>
  <c r="L70"/>
  <c r="AT70" s="1"/>
  <c r="J70"/>
  <c r="X70" s="1"/>
  <c r="AR69"/>
  <c r="AD69"/>
  <c r="AL69" s="1"/>
  <c r="AC69"/>
  <c r="H69" s="1"/>
  <c r="Z69"/>
  <c r="Y69"/>
  <c r="V69"/>
  <c r="U69"/>
  <c r="T69"/>
  <c r="S69"/>
  <c r="R69"/>
  <c r="Q69"/>
  <c r="P69"/>
  <c r="N69"/>
  <c r="L69"/>
  <c r="AT69" s="1"/>
  <c r="J69"/>
  <c r="X69" s="1"/>
  <c r="AR68"/>
  <c r="AD68"/>
  <c r="AL68" s="1"/>
  <c r="AC68"/>
  <c r="H68" s="1"/>
  <c r="Z68"/>
  <c r="Y68"/>
  <c r="V68"/>
  <c r="U68"/>
  <c r="T68"/>
  <c r="S68"/>
  <c r="R68"/>
  <c r="Q68"/>
  <c r="P68"/>
  <c r="N68"/>
  <c r="L68"/>
  <c r="AT68" s="1"/>
  <c r="J68"/>
  <c r="X68" s="1"/>
  <c r="AR67"/>
  <c r="AD67"/>
  <c r="AL67" s="1"/>
  <c r="AC67"/>
  <c r="H67" s="1"/>
  <c r="Z67"/>
  <c r="Y67"/>
  <c r="V67"/>
  <c r="U67"/>
  <c r="T67"/>
  <c r="S67"/>
  <c r="R67"/>
  <c r="Q67"/>
  <c r="P67"/>
  <c r="N67"/>
  <c r="L67"/>
  <c r="AT67" s="1"/>
  <c r="J67"/>
  <c r="X67" s="1"/>
  <c r="AR66"/>
  <c r="AD66"/>
  <c r="AL66" s="1"/>
  <c r="AC66"/>
  <c r="H66" s="1"/>
  <c r="Z66"/>
  <c r="Y66"/>
  <c r="V66"/>
  <c r="U66"/>
  <c r="T66"/>
  <c r="S66"/>
  <c r="R66"/>
  <c r="Q66"/>
  <c r="P66"/>
  <c r="N66"/>
  <c r="L66"/>
  <c r="AT66" s="1"/>
  <c r="J66"/>
  <c r="X66" s="1"/>
  <c r="AR65"/>
  <c r="AD65"/>
  <c r="AL65" s="1"/>
  <c r="AC65"/>
  <c r="H65" s="1"/>
  <c r="Z65"/>
  <c r="Y65"/>
  <c r="V65"/>
  <c r="U65"/>
  <c r="T65"/>
  <c r="S65"/>
  <c r="R65"/>
  <c r="Q65"/>
  <c r="P65"/>
  <c r="N65"/>
  <c r="L65"/>
  <c r="AT65" s="1"/>
  <c r="J65"/>
  <c r="X65" s="1"/>
  <c r="AR64"/>
  <c r="AD64"/>
  <c r="AL64" s="1"/>
  <c r="AC64"/>
  <c r="H64" s="1"/>
  <c r="Z64"/>
  <c r="Y64"/>
  <c r="V64"/>
  <c r="U64"/>
  <c r="T64"/>
  <c r="S64"/>
  <c r="R64"/>
  <c r="Q64"/>
  <c r="P64"/>
  <c r="N64"/>
  <c r="L64"/>
  <c r="AT64" s="1"/>
  <c r="J64"/>
  <c r="X64" s="1"/>
  <c r="AR63"/>
  <c r="AD63"/>
  <c r="AL63" s="1"/>
  <c r="AC63"/>
  <c r="H63" s="1"/>
  <c r="Z63"/>
  <c r="Y63"/>
  <c r="V63"/>
  <c r="U63"/>
  <c r="T63"/>
  <c r="S63"/>
  <c r="R63"/>
  <c r="Q63"/>
  <c r="P63"/>
  <c r="N63"/>
  <c r="L63"/>
  <c r="AT63" s="1"/>
  <c r="J63"/>
  <c r="X63" s="1"/>
  <c r="AR62"/>
  <c r="AD62"/>
  <c r="AL62" s="1"/>
  <c r="AC62"/>
  <c r="H62" s="1"/>
  <c r="Z62"/>
  <c r="Y62"/>
  <c r="V62"/>
  <c r="U62"/>
  <c r="T62"/>
  <c r="S62"/>
  <c r="R62"/>
  <c r="Q62"/>
  <c r="P62"/>
  <c r="N62"/>
  <c r="L62"/>
  <c r="AT62" s="1"/>
  <c r="J62"/>
  <c r="X62" s="1"/>
  <c r="AR61"/>
  <c r="AD61"/>
  <c r="AL61" s="1"/>
  <c r="AC61"/>
  <c r="H61" s="1"/>
  <c r="Z61"/>
  <c r="Y61"/>
  <c r="V61"/>
  <c r="U61"/>
  <c r="T61"/>
  <c r="S61"/>
  <c r="R61"/>
  <c r="Q61"/>
  <c r="P61"/>
  <c r="N61"/>
  <c r="L61"/>
  <c r="AT61" s="1"/>
  <c r="J61"/>
  <c r="X61" s="1"/>
  <c r="AR60"/>
  <c r="AD60"/>
  <c r="AL60" s="1"/>
  <c r="AC60"/>
  <c r="H60" s="1"/>
  <c r="Z60"/>
  <c r="Y60"/>
  <c r="V60"/>
  <c r="U60"/>
  <c r="T60"/>
  <c r="S60"/>
  <c r="R60"/>
  <c r="Q60"/>
  <c r="P60"/>
  <c r="N60"/>
  <c r="L60"/>
  <c r="AT60" s="1"/>
  <c r="J60"/>
  <c r="X60" s="1"/>
  <c r="AR59"/>
  <c r="AD59"/>
  <c r="AL59" s="1"/>
  <c r="AC59"/>
  <c r="H59" s="1"/>
  <c r="I59" s="1"/>
  <c r="Z59"/>
  <c r="Y59"/>
  <c r="V59"/>
  <c r="U59"/>
  <c r="T59"/>
  <c r="S59"/>
  <c r="R59"/>
  <c r="Q59"/>
  <c r="P59"/>
  <c r="N59"/>
  <c r="L59"/>
  <c r="AT59" s="1"/>
  <c r="J59"/>
  <c r="X59" s="1"/>
  <c r="AR58"/>
  <c r="AD58"/>
  <c r="AL58" s="1"/>
  <c r="AC58"/>
  <c r="H58" s="1"/>
  <c r="Z58"/>
  <c r="Y58"/>
  <c r="V58"/>
  <c r="U58"/>
  <c r="T58"/>
  <c r="S58"/>
  <c r="R58"/>
  <c r="Q58"/>
  <c r="P58"/>
  <c r="N58"/>
  <c r="L58"/>
  <c r="AT58" s="1"/>
  <c r="J58"/>
  <c r="X58" s="1"/>
  <c r="AR57"/>
  <c r="AD57"/>
  <c r="AL57" s="1"/>
  <c r="AC57"/>
  <c r="H57" s="1"/>
  <c r="Z57"/>
  <c r="Y57"/>
  <c r="V57"/>
  <c r="U57"/>
  <c r="T57"/>
  <c r="S57"/>
  <c r="R57"/>
  <c r="Q57"/>
  <c r="P57"/>
  <c r="N57"/>
  <c r="L57"/>
  <c r="AT57" s="1"/>
  <c r="J57"/>
  <c r="X57" s="1"/>
  <c r="AR55"/>
  <c r="AD55"/>
  <c r="AL55" s="1"/>
  <c r="AC55"/>
  <c r="H55" s="1"/>
  <c r="Z55"/>
  <c r="Y55"/>
  <c r="V55"/>
  <c r="U55"/>
  <c r="T55"/>
  <c r="S55"/>
  <c r="R55"/>
  <c r="Q55"/>
  <c r="P55"/>
  <c r="N55"/>
  <c r="L55"/>
  <c r="AT55" s="1"/>
  <c r="J55"/>
  <c r="X55" s="1"/>
  <c r="AR53"/>
  <c r="AD53"/>
  <c r="AL53" s="1"/>
  <c r="AC53"/>
  <c r="H53" s="1"/>
  <c r="Z53"/>
  <c r="Y53"/>
  <c r="V53"/>
  <c r="U53"/>
  <c r="T53"/>
  <c r="S53"/>
  <c r="R53"/>
  <c r="Q53"/>
  <c r="P53"/>
  <c r="N53"/>
  <c r="L53"/>
  <c r="AT53" s="1"/>
  <c r="J53"/>
  <c r="X53" s="1"/>
  <c r="AR51"/>
  <c r="AD51"/>
  <c r="AL51" s="1"/>
  <c r="AC51"/>
  <c r="H51" s="1"/>
  <c r="Z51"/>
  <c r="Y51"/>
  <c r="V51"/>
  <c r="U51"/>
  <c r="T51"/>
  <c r="S51"/>
  <c r="R51"/>
  <c r="Q51"/>
  <c r="P51"/>
  <c r="N51"/>
  <c r="L51"/>
  <c r="AT51" s="1"/>
  <c r="J51"/>
  <c r="X51" s="1"/>
  <c r="AR49"/>
  <c r="AD49"/>
  <c r="AL49" s="1"/>
  <c r="AC49"/>
  <c r="H49" s="1"/>
  <c r="Z49"/>
  <c r="Y49"/>
  <c r="V49"/>
  <c r="U49"/>
  <c r="T49"/>
  <c r="S49"/>
  <c r="R49"/>
  <c r="Q49"/>
  <c r="P49"/>
  <c r="N49"/>
  <c r="L49"/>
  <c r="AT49" s="1"/>
  <c r="J49"/>
  <c r="X49" s="1"/>
  <c r="I49"/>
  <c r="AR47"/>
  <c r="AD47"/>
  <c r="AL47" s="1"/>
  <c r="AC47"/>
  <c r="H47" s="1"/>
  <c r="Z47"/>
  <c r="Y47"/>
  <c r="V47"/>
  <c r="U47"/>
  <c r="T47"/>
  <c r="S47"/>
  <c r="R47"/>
  <c r="Q47"/>
  <c r="P47"/>
  <c r="N47"/>
  <c r="L47"/>
  <c r="AT47" s="1"/>
  <c r="J47"/>
  <c r="X47" s="1"/>
  <c r="AR45"/>
  <c r="AD45"/>
  <c r="AL45" s="1"/>
  <c r="AC45"/>
  <c r="H45" s="1"/>
  <c r="Z45"/>
  <c r="Y45"/>
  <c r="V45"/>
  <c r="U45"/>
  <c r="T45"/>
  <c r="S45"/>
  <c r="R45"/>
  <c r="Q45"/>
  <c r="P45"/>
  <c r="N45"/>
  <c r="L45"/>
  <c r="AT45" s="1"/>
  <c r="J45"/>
  <c r="X45" s="1"/>
  <c r="AR43"/>
  <c r="AD43"/>
  <c r="AL43" s="1"/>
  <c r="AC43"/>
  <c r="H43" s="1"/>
  <c r="Z43"/>
  <c r="Y43"/>
  <c r="V43"/>
  <c r="U43"/>
  <c r="T43"/>
  <c r="S43"/>
  <c r="R43"/>
  <c r="Q43"/>
  <c r="P43"/>
  <c r="N43"/>
  <c r="L43"/>
  <c r="AT43" s="1"/>
  <c r="J43"/>
  <c r="X43" s="1"/>
  <c r="AR42"/>
  <c r="AD42"/>
  <c r="AL42" s="1"/>
  <c r="AC42"/>
  <c r="H42" s="1"/>
  <c r="Z42"/>
  <c r="Y42"/>
  <c r="V42"/>
  <c r="U42"/>
  <c r="T42"/>
  <c r="S42"/>
  <c r="R42"/>
  <c r="Q42"/>
  <c r="P42"/>
  <c r="N42"/>
  <c r="L42"/>
  <c r="AT42" s="1"/>
  <c r="J42"/>
  <c r="X42" s="1"/>
  <c r="N41"/>
  <c r="L41"/>
  <c r="N40"/>
  <c r="AR39"/>
  <c r="AD39"/>
  <c r="AL39" s="1"/>
  <c r="AC39"/>
  <c r="AK39" s="1"/>
  <c r="Z39"/>
  <c r="Y39"/>
  <c r="V39"/>
  <c r="U39"/>
  <c r="T39"/>
  <c r="S39"/>
  <c r="R39"/>
  <c r="Q39"/>
  <c r="P39"/>
  <c r="N39"/>
  <c r="L39"/>
  <c r="AT39" s="1"/>
  <c r="J39"/>
  <c r="AR37"/>
  <c r="AD37"/>
  <c r="AL37" s="1"/>
  <c r="AC37"/>
  <c r="AK37" s="1"/>
  <c r="Z37"/>
  <c r="Y37"/>
  <c r="V37"/>
  <c r="U37"/>
  <c r="T37"/>
  <c r="S37"/>
  <c r="R37"/>
  <c r="Q37"/>
  <c r="P37"/>
  <c r="N37"/>
  <c r="L37"/>
  <c r="AT37" s="1"/>
  <c r="J37"/>
  <c r="H37"/>
  <c r="AR36"/>
  <c r="AD36"/>
  <c r="AL36" s="1"/>
  <c r="AC36"/>
  <c r="AK36" s="1"/>
  <c r="Z36"/>
  <c r="Y36"/>
  <c r="V36"/>
  <c r="U36"/>
  <c r="T36"/>
  <c r="S36"/>
  <c r="R36"/>
  <c r="Q36"/>
  <c r="P36"/>
  <c r="N36"/>
  <c r="L36"/>
  <c r="AT36" s="1"/>
  <c r="J36"/>
  <c r="AR35"/>
  <c r="AD35"/>
  <c r="AL35" s="1"/>
  <c r="AC35"/>
  <c r="AK35" s="1"/>
  <c r="Z35"/>
  <c r="Y35"/>
  <c r="V35"/>
  <c r="U35"/>
  <c r="T35"/>
  <c r="S35"/>
  <c r="R35"/>
  <c r="Q35"/>
  <c r="P35"/>
  <c r="N35"/>
  <c r="L35"/>
  <c r="AT35" s="1"/>
  <c r="J35"/>
  <c r="H35"/>
  <c r="AR34"/>
  <c r="AD34"/>
  <c r="AL34" s="1"/>
  <c r="AC34"/>
  <c r="AK34" s="1"/>
  <c r="Z34"/>
  <c r="Y34"/>
  <c r="V34"/>
  <c r="U34"/>
  <c r="T34"/>
  <c r="S34"/>
  <c r="R34"/>
  <c r="Q34"/>
  <c r="P34"/>
  <c r="N34"/>
  <c r="L34"/>
  <c r="AT34" s="1"/>
  <c r="J34"/>
  <c r="AR33"/>
  <c r="AD33"/>
  <c r="AL33" s="1"/>
  <c r="AC33"/>
  <c r="AK33" s="1"/>
  <c r="Z33"/>
  <c r="Y33"/>
  <c r="V33"/>
  <c r="U33"/>
  <c r="T33"/>
  <c r="S33"/>
  <c r="R33"/>
  <c r="Q33"/>
  <c r="P33"/>
  <c r="N33"/>
  <c r="L33"/>
  <c r="AT33" s="1"/>
  <c r="J33"/>
  <c r="H33"/>
  <c r="AR32"/>
  <c r="AD32"/>
  <c r="AL32" s="1"/>
  <c r="AC32"/>
  <c r="AK32" s="1"/>
  <c r="Z32"/>
  <c r="Y32"/>
  <c r="V32"/>
  <c r="U32"/>
  <c r="T32"/>
  <c r="S32"/>
  <c r="R32"/>
  <c r="Q32"/>
  <c r="P32"/>
  <c r="N32"/>
  <c r="L32"/>
  <c r="AT32" s="1"/>
  <c r="J32"/>
  <c r="AR31"/>
  <c r="AD31"/>
  <c r="AL31" s="1"/>
  <c r="AC31"/>
  <c r="AK31" s="1"/>
  <c r="Z31"/>
  <c r="Y31"/>
  <c r="V31"/>
  <c r="U31"/>
  <c r="T31"/>
  <c r="S31"/>
  <c r="R31"/>
  <c r="Q31"/>
  <c r="P31"/>
  <c r="N31"/>
  <c r="L31"/>
  <c r="AT31" s="1"/>
  <c r="J31"/>
  <c r="H31"/>
  <c r="AR30"/>
  <c r="AD30"/>
  <c r="AL30" s="1"/>
  <c r="AC30"/>
  <c r="AK30" s="1"/>
  <c r="Z30"/>
  <c r="Y30"/>
  <c r="V30"/>
  <c r="U30"/>
  <c r="T30"/>
  <c r="S30"/>
  <c r="R30"/>
  <c r="Q30"/>
  <c r="P30"/>
  <c r="N30"/>
  <c r="L30"/>
  <c r="AT30" s="1"/>
  <c r="J30"/>
  <c r="AR29"/>
  <c r="AD29"/>
  <c r="AL29" s="1"/>
  <c r="AC29"/>
  <c r="AK29" s="1"/>
  <c r="Z29"/>
  <c r="Y29"/>
  <c r="V29"/>
  <c r="U29"/>
  <c r="T29"/>
  <c r="S29"/>
  <c r="R29"/>
  <c r="Q29"/>
  <c r="P29"/>
  <c r="N29"/>
  <c r="L29"/>
  <c r="AT29" s="1"/>
  <c r="J29"/>
  <c r="H29"/>
  <c r="AR28"/>
  <c r="AD28"/>
  <c r="AL28" s="1"/>
  <c r="AC28"/>
  <c r="AK28" s="1"/>
  <c r="Z28"/>
  <c r="Y28"/>
  <c r="V28"/>
  <c r="U28"/>
  <c r="T28"/>
  <c r="S28"/>
  <c r="R28"/>
  <c r="Q28"/>
  <c r="P28"/>
  <c r="N28"/>
  <c r="L28"/>
  <c r="AT28" s="1"/>
  <c r="J28"/>
  <c r="AR27"/>
  <c r="AD27"/>
  <c r="AL27" s="1"/>
  <c r="AC27"/>
  <c r="AK27" s="1"/>
  <c r="Z27"/>
  <c r="Y27"/>
  <c r="V27"/>
  <c r="U27"/>
  <c r="T27"/>
  <c r="S27"/>
  <c r="R27"/>
  <c r="Q27"/>
  <c r="P27"/>
  <c r="N27"/>
  <c r="L27"/>
  <c r="AT27" s="1"/>
  <c r="J27"/>
  <c r="H27"/>
  <c r="AR26"/>
  <c r="AD26"/>
  <c r="AL26" s="1"/>
  <c r="AC26"/>
  <c r="AK26" s="1"/>
  <c r="Z26"/>
  <c r="Y26"/>
  <c r="V26"/>
  <c r="U26"/>
  <c r="T26"/>
  <c r="S26"/>
  <c r="R26"/>
  <c r="Q26"/>
  <c r="P26"/>
  <c r="N26"/>
  <c r="L26"/>
  <c r="AT26" s="1"/>
  <c r="J26"/>
  <c r="AR25"/>
  <c r="AD25"/>
  <c r="AL25" s="1"/>
  <c r="AC25"/>
  <c r="AK25" s="1"/>
  <c r="Z25"/>
  <c r="Y25"/>
  <c r="V25"/>
  <c r="U25"/>
  <c r="T25"/>
  <c r="S25"/>
  <c r="R25"/>
  <c r="Q25"/>
  <c r="P25"/>
  <c r="N25"/>
  <c r="L25"/>
  <c r="AT25" s="1"/>
  <c r="J25"/>
  <c r="AR24"/>
  <c r="AD24"/>
  <c r="AL24" s="1"/>
  <c r="AC24"/>
  <c r="AK24" s="1"/>
  <c r="Z24"/>
  <c r="Y24"/>
  <c r="V24"/>
  <c r="U24"/>
  <c r="T24"/>
  <c r="S24"/>
  <c r="R24"/>
  <c r="Q24"/>
  <c r="P24"/>
  <c r="N24"/>
  <c r="L24"/>
  <c r="AT24" s="1"/>
  <c r="J24"/>
  <c r="AR23"/>
  <c r="AD23"/>
  <c r="AL23" s="1"/>
  <c r="AC23"/>
  <c r="AK23" s="1"/>
  <c r="Z23"/>
  <c r="Y23"/>
  <c r="V23"/>
  <c r="U23"/>
  <c r="T23"/>
  <c r="S23"/>
  <c r="R23"/>
  <c r="Q23"/>
  <c r="P23"/>
  <c r="N23"/>
  <c r="L23"/>
  <c r="AT23" s="1"/>
  <c r="J23"/>
  <c r="AR22"/>
  <c r="AD22"/>
  <c r="AL22" s="1"/>
  <c r="AC22"/>
  <c r="AK22" s="1"/>
  <c r="Z22"/>
  <c r="Y22"/>
  <c r="V22"/>
  <c r="U22"/>
  <c r="T22"/>
  <c r="S22"/>
  <c r="R22"/>
  <c r="Q22"/>
  <c r="P22"/>
  <c r="N22"/>
  <c r="L22"/>
  <c r="AT22" s="1"/>
  <c r="J22"/>
  <c r="AR21"/>
  <c r="AD21"/>
  <c r="AL21" s="1"/>
  <c r="AC21"/>
  <c r="AK21" s="1"/>
  <c r="Z21"/>
  <c r="Y21"/>
  <c r="V21"/>
  <c r="U21"/>
  <c r="T21"/>
  <c r="S21"/>
  <c r="R21"/>
  <c r="Q21"/>
  <c r="P21"/>
  <c r="N21"/>
  <c r="L21"/>
  <c r="AT21" s="1"/>
  <c r="J21"/>
  <c r="AR19"/>
  <c r="AD19"/>
  <c r="AL19" s="1"/>
  <c r="AC19"/>
  <c r="AK19" s="1"/>
  <c r="Z19"/>
  <c r="Y19"/>
  <c r="V19"/>
  <c r="U19"/>
  <c r="T19"/>
  <c r="S19"/>
  <c r="R19"/>
  <c r="Q19"/>
  <c r="P19"/>
  <c r="N19"/>
  <c r="L19"/>
  <c r="AT19" s="1"/>
  <c r="J19"/>
  <c r="AR17"/>
  <c r="AD17"/>
  <c r="AL17" s="1"/>
  <c r="AC17"/>
  <c r="AK17" s="1"/>
  <c r="Z17"/>
  <c r="Y17"/>
  <c r="V17"/>
  <c r="U17"/>
  <c r="T17"/>
  <c r="S17"/>
  <c r="R17"/>
  <c r="Q17"/>
  <c r="P17"/>
  <c r="N17"/>
  <c r="L17"/>
  <c r="AT17" s="1"/>
  <c r="J17"/>
  <c r="AR15"/>
  <c r="AD15"/>
  <c r="AL15" s="1"/>
  <c r="AC15"/>
  <c r="AK15" s="1"/>
  <c r="Z15"/>
  <c r="Y15"/>
  <c r="V15"/>
  <c r="U15"/>
  <c r="T15"/>
  <c r="S15"/>
  <c r="R15"/>
  <c r="Q15"/>
  <c r="P15"/>
  <c r="N15"/>
  <c r="L15"/>
  <c r="AT15" s="1"/>
  <c r="J15"/>
  <c r="AR13"/>
  <c r="AD13"/>
  <c r="AL13" s="1"/>
  <c r="AC13"/>
  <c r="Z13"/>
  <c r="Y13"/>
  <c r="V13"/>
  <c r="U13"/>
  <c r="T13"/>
  <c r="S13"/>
  <c r="R13"/>
  <c r="Q13"/>
  <c r="P13"/>
  <c r="N13"/>
  <c r="L13"/>
  <c r="AT13" s="1"/>
  <c r="J13"/>
  <c r="AH12"/>
  <c r="L12" l="1"/>
  <c r="I131"/>
  <c r="I130" s="1"/>
  <c r="J130" s="1"/>
  <c r="AQ129"/>
  <c r="I109"/>
  <c r="H110"/>
  <c r="H91" s="1"/>
  <c r="H111"/>
  <c r="I111" s="1"/>
  <c r="H112"/>
  <c r="I112" s="1"/>
  <c r="H113"/>
  <c r="H114"/>
  <c r="H115"/>
  <c r="H118"/>
  <c r="I57"/>
  <c r="I42"/>
  <c r="H71"/>
  <c r="H72"/>
  <c r="H73"/>
  <c r="H74"/>
  <c r="H75"/>
  <c r="H76"/>
  <c r="H77"/>
  <c r="I77" s="1"/>
  <c r="H78"/>
  <c r="H79"/>
  <c r="H80"/>
  <c r="H81"/>
  <c r="I81" s="1"/>
  <c r="H82"/>
  <c r="AQ19"/>
  <c r="AQ26"/>
  <c r="AQ28"/>
  <c r="AQ30"/>
  <c r="AQ32"/>
  <c r="AQ34"/>
  <c r="AQ36"/>
  <c r="AQ39"/>
  <c r="AQ22"/>
  <c r="AQ24"/>
  <c r="AQ15"/>
  <c r="AK13"/>
  <c r="AQ13" s="1"/>
  <c r="H13"/>
  <c r="H17"/>
  <c r="H21"/>
  <c r="H23"/>
  <c r="H25"/>
  <c r="I25" s="1"/>
  <c r="AJ49" i="12"/>
  <c r="AS28"/>
  <c r="AJ24"/>
  <c r="AS37"/>
  <c r="H40"/>
  <c r="T40" s="1"/>
  <c r="AS41"/>
  <c r="H25"/>
  <c r="T25" s="1"/>
  <c r="AS26"/>
  <c r="AS34"/>
  <c r="AS45"/>
  <c r="AS32"/>
  <c r="H20"/>
  <c r="R20" s="1"/>
  <c r="H15"/>
  <c r="R15" s="1"/>
  <c r="H16"/>
  <c r="R16" s="1"/>
  <c r="G96" i="13"/>
  <c r="G95" s="1"/>
  <c r="G59"/>
  <c r="G155" i="15"/>
  <c r="G95"/>
  <c r="G46"/>
  <c r="F11" i="16"/>
  <c r="F18"/>
  <c r="G140" i="15"/>
  <c r="G109"/>
  <c r="G71"/>
  <c r="G64"/>
  <c r="G21" i="13"/>
  <c r="G103" s="1"/>
  <c r="B9" i="20" s="1"/>
  <c r="I51" i="12"/>
  <c r="U51" s="1"/>
  <c r="H51"/>
  <c r="T51" s="1"/>
  <c r="H50"/>
  <c r="T50" s="1"/>
  <c r="AK24"/>
  <c r="H26"/>
  <c r="T26" s="1"/>
  <c r="H27"/>
  <c r="T27" s="1"/>
  <c r="H28"/>
  <c r="T28" s="1"/>
  <c r="H29"/>
  <c r="T29" s="1"/>
  <c r="H30"/>
  <c r="T30" s="1"/>
  <c r="H31"/>
  <c r="T31" s="1"/>
  <c r="H32"/>
  <c r="T32" s="1"/>
  <c r="H33"/>
  <c r="T33" s="1"/>
  <c r="H34"/>
  <c r="T34" s="1"/>
  <c r="H35"/>
  <c r="T35" s="1"/>
  <c r="H37"/>
  <c r="T37" s="1"/>
  <c r="H39"/>
  <c r="T39" s="1"/>
  <c r="H41"/>
  <c r="T41" s="1"/>
  <c r="I43"/>
  <c r="U43" s="1"/>
  <c r="AS43"/>
  <c r="H44"/>
  <c r="T44" s="1"/>
  <c r="H45"/>
  <c r="T45" s="1"/>
  <c r="I23"/>
  <c r="AI18"/>
  <c r="I21"/>
  <c r="S21" s="1"/>
  <c r="I15"/>
  <c r="S15" s="1"/>
  <c r="I17"/>
  <c r="S17" s="1"/>
  <c r="H13"/>
  <c r="R13" s="1"/>
  <c r="I127" i="11"/>
  <c r="I126" s="1"/>
  <c r="J126" s="1"/>
  <c r="I125"/>
  <c r="I124" s="1"/>
  <c r="J124" s="1"/>
  <c r="I94"/>
  <c r="I98"/>
  <c r="I102"/>
  <c r="I106"/>
  <c r="AH91"/>
  <c r="I92"/>
  <c r="I95"/>
  <c r="I96"/>
  <c r="I99"/>
  <c r="I100"/>
  <c r="I103"/>
  <c r="I104"/>
  <c r="I107"/>
  <c r="I108"/>
  <c r="I113"/>
  <c r="I114"/>
  <c r="I115"/>
  <c r="I116"/>
  <c r="I117"/>
  <c r="I118"/>
  <c r="I119"/>
  <c r="I120"/>
  <c r="I121"/>
  <c r="I75"/>
  <c r="I76"/>
  <c r="I78"/>
  <c r="I79"/>
  <c r="I80"/>
  <c r="I82"/>
  <c r="I83"/>
  <c r="I84"/>
  <c r="I85"/>
  <c r="I86"/>
  <c r="I87"/>
  <c r="I89"/>
  <c r="I60"/>
  <c r="I63"/>
  <c r="I65"/>
  <c r="I67"/>
  <c r="I69"/>
  <c r="I61"/>
  <c r="I62"/>
  <c r="I64"/>
  <c r="I66"/>
  <c r="I68"/>
  <c r="I70"/>
  <c r="I71"/>
  <c r="I72"/>
  <c r="I73"/>
  <c r="I74"/>
  <c r="I58"/>
  <c r="I55"/>
  <c r="I53"/>
  <c r="I51"/>
  <c r="AI41"/>
  <c r="I47"/>
  <c r="I45"/>
  <c r="I43"/>
  <c r="H39"/>
  <c r="I39" s="1"/>
  <c r="AQ37"/>
  <c r="H36"/>
  <c r="I36" s="1"/>
  <c r="AQ35"/>
  <c r="H34"/>
  <c r="AQ33"/>
  <c r="H32"/>
  <c r="I32" s="1"/>
  <c r="AQ31"/>
  <c r="H30"/>
  <c r="I30" s="1"/>
  <c r="AQ29"/>
  <c r="H28"/>
  <c r="I28" s="1"/>
  <c r="AQ27"/>
  <c r="H26"/>
  <c r="AQ25"/>
  <c r="H24"/>
  <c r="I24" s="1"/>
  <c r="AQ23"/>
  <c r="H22"/>
  <c r="I22" s="1"/>
  <c r="AQ21"/>
  <c r="H19"/>
  <c r="I19" s="1"/>
  <c r="AI12"/>
  <c r="AQ17"/>
  <c r="H15"/>
  <c r="AS15" i="12"/>
  <c r="AS16"/>
  <c r="AS17"/>
  <c r="AS19"/>
  <c r="AS20"/>
  <c r="S23"/>
  <c r="I22"/>
  <c r="AS23"/>
  <c r="Z15"/>
  <c r="Z16"/>
  <c r="Z17"/>
  <c r="I19"/>
  <c r="I20"/>
  <c r="S20" s="1"/>
  <c r="Z23"/>
  <c r="AI22" s="1"/>
  <c r="Z26"/>
  <c r="I26"/>
  <c r="U26" s="1"/>
  <c r="H14"/>
  <c r="H22"/>
  <c r="I25"/>
  <c r="AS25"/>
  <c r="I28"/>
  <c r="U28" s="1"/>
  <c r="I30"/>
  <c r="U30" s="1"/>
  <c r="I32"/>
  <c r="U32" s="1"/>
  <c r="I34"/>
  <c r="U34" s="1"/>
  <c r="I36"/>
  <c r="U36" s="1"/>
  <c r="AS36"/>
  <c r="Z37"/>
  <c r="I38"/>
  <c r="U38" s="1"/>
  <c r="AS38"/>
  <c r="Z39"/>
  <c r="I40"/>
  <c r="U40" s="1"/>
  <c r="AS40"/>
  <c r="Z41"/>
  <c r="I42"/>
  <c r="U42" s="1"/>
  <c r="AS42"/>
  <c r="Z43"/>
  <c r="AS44"/>
  <c r="Z45"/>
  <c r="I46"/>
  <c r="U46" s="1"/>
  <c r="AS46"/>
  <c r="T48"/>
  <c r="I48"/>
  <c r="Z42"/>
  <c r="Z44"/>
  <c r="Z46"/>
  <c r="AS53"/>
  <c r="AM48"/>
  <c r="AS48" s="1"/>
  <c r="AV48"/>
  <c r="Z50"/>
  <c r="AI49" s="1"/>
  <c r="Z51"/>
  <c r="I53"/>
  <c r="I52" s="1"/>
  <c r="J52" s="1"/>
  <c r="P53"/>
  <c r="AK43" i="11"/>
  <c r="AQ43" s="1"/>
  <c r="AK47"/>
  <c r="AQ47" s="1"/>
  <c r="AK51"/>
  <c r="AQ51" s="1"/>
  <c r="AK55"/>
  <c r="AQ55" s="1"/>
  <c r="AK58"/>
  <c r="AQ58" s="1"/>
  <c r="AK60"/>
  <c r="AQ60" s="1"/>
  <c r="I13"/>
  <c r="X13"/>
  <c r="I15"/>
  <c r="X15"/>
  <c r="I17"/>
  <c r="X17"/>
  <c r="X19"/>
  <c r="I21"/>
  <c r="X21"/>
  <c r="X22"/>
  <c r="I23"/>
  <c r="X23"/>
  <c r="X24"/>
  <c r="X25"/>
  <c r="I26"/>
  <c r="X26"/>
  <c r="I27"/>
  <c r="X27"/>
  <c r="X28"/>
  <c r="I29"/>
  <c r="X29"/>
  <c r="X30"/>
  <c r="I31"/>
  <c r="X31"/>
  <c r="X32"/>
  <c r="I33"/>
  <c r="X33"/>
  <c r="I34"/>
  <c r="X34"/>
  <c r="I35"/>
  <c r="X35"/>
  <c r="X36"/>
  <c r="I37"/>
  <c r="X37"/>
  <c r="X39"/>
  <c r="AH41"/>
  <c r="H41"/>
  <c r="AK42"/>
  <c r="AQ42" s="1"/>
  <c r="AK45"/>
  <c r="AQ45" s="1"/>
  <c r="AK49"/>
  <c r="AQ49" s="1"/>
  <c r="AK53"/>
  <c r="AQ53" s="1"/>
  <c r="AK57"/>
  <c r="AQ57" s="1"/>
  <c r="AK59"/>
  <c r="AQ59" s="1"/>
  <c r="AK61"/>
  <c r="AQ61" s="1"/>
  <c r="AK62"/>
  <c r="AQ62" s="1"/>
  <c r="AK63"/>
  <c r="AQ63" s="1"/>
  <c r="AK64"/>
  <c r="AQ64" s="1"/>
  <c r="AK65"/>
  <c r="AQ65" s="1"/>
  <c r="AK66"/>
  <c r="AQ66" s="1"/>
  <c r="AK67"/>
  <c r="AQ67" s="1"/>
  <c r="AK68"/>
  <c r="AQ68" s="1"/>
  <c r="AK69"/>
  <c r="AQ69" s="1"/>
  <c r="AK70"/>
  <c r="AQ70" s="1"/>
  <c r="X71"/>
  <c r="X72"/>
  <c r="X73"/>
  <c r="X74"/>
  <c r="X75"/>
  <c r="X76"/>
  <c r="X77"/>
  <c r="X78"/>
  <c r="X79"/>
  <c r="X80"/>
  <c r="X81"/>
  <c r="X82"/>
  <c r="X83"/>
  <c r="X84"/>
  <c r="X85"/>
  <c r="X86"/>
  <c r="X87"/>
  <c r="X89"/>
  <c r="AK92"/>
  <c r="AQ92" s="1"/>
  <c r="AK94"/>
  <c r="AQ94" s="1"/>
  <c r="AK96"/>
  <c r="AQ96" s="1"/>
  <c r="AK98"/>
  <c r="AQ98" s="1"/>
  <c r="AK100"/>
  <c r="AQ100" s="1"/>
  <c r="AK102"/>
  <c r="AQ102" s="1"/>
  <c r="AK104"/>
  <c r="AQ104" s="1"/>
  <c r="AK106"/>
  <c r="AQ106" s="1"/>
  <c r="AK108"/>
  <c r="AQ108" s="1"/>
  <c r="X110"/>
  <c r="X112"/>
  <c r="X114"/>
  <c r="X116"/>
  <c r="X118"/>
  <c r="X120"/>
  <c r="L130"/>
  <c r="AT131"/>
  <c r="AK131"/>
  <c r="AQ131" s="1"/>
  <c r="AQ71"/>
  <c r="AQ72"/>
  <c r="AQ73"/>
  <c r="AQ74"/>
  <c r="AQ75"/>
  <c r="AQ76"/>
  <c r="AQ77"/>
  <c r="AQ78"/>
  <c r="AQ79"/>
  <c r="AQ80"/>
  <c r="AQ81"/>
  <c r="AQ82"/>
  <c r="AQ83"/>
  <c r="AQ84"/>
  <c r="AQ85"/>
  <c r="AQ86"/>
  <c r="AQ87"/>
  <c r="AQ89"/>
  <c r="L91"/>
  <c r="AT92"/>
  <c r="AK93"/>
  <c r="AQ93" s="1"/>
  <c r="AK95"/>
  <c r="AQ95" s="1"/>
  <c r="AK97"/>
  <c r="AQ97" s="1"/>
  <c r="AK99"/>
  <c r="AQ99" s="1"/>
  <c r="AK101"/>
  <c r="AQ101" s="1"/>
  <c r="AK103"/>
  <c r="AQ103" s="1"/>
  <c r="AK105"/>
  <c r="AQ105" s="1"/>
  <c r="AK107"/>
  <c r="AQ107" s="1"/>
  <c r="AK109"/>
  <c r="AQ109" s="1"/>
  <c r="X111"/>
  <c r="X113"/>
  <c r="X115"/>
  <c r="X117"/>
  <c r="X119"/>
  <c r="X121"/>
  <c r="I123"/>
  <c r="I122" s="1"/>
  <c r="H122"/>
  <c r="J122" s="1"/>
  <c r="AK123"/>
  <c r="AQ123" s="1"/>
  <c r="N125"/>
  <c r="X125"/>
  <c r="AG124" s="1"/>
  <c r="AQ110"/>
  <c r="AQ111"/>
  <c r="AQ112"/>
  <c r="AQ113"/>
  <c r="AQ114"/>
  <c r="AQ115"/>
  <c r="AQ116"/>
  <c r="AQ117"/>
  <c r="AQ118"/>
  <c r="AQ119"/>
  <c r="AQ120"/>
  <c r="AQ121"/>
  <c r="AT123"/>
  <c r="AQ125"/>
  <c r="AK127"/>
  <c r="AQ127" s="1"/>
  <c r="I129"/>
  <c r="I128" s="1"/>
  <c r="J128" s="1"/>
  <c r="N129"/>
  <c r="X129"/>
  <c r="AG128" s="1"/>
  <c r="N127"/>
  <c r="N131"/>
  <c r="L132" l="1"/>
  <c r="I110"/>
  <c r="I91" s="1"/>
  <c r="J91" s="1"/>
  <c r="I41"/>
  <c r="J41" s="1"/>
  <c r="H12"/>
  <c r="I44" i="12"/>
  <c r="U44" s="1"/>
  <c r="I45"/>
  <c r="U45" s="1"/>
  <c r="H18"/>
  <c r="I16"/>
  <c r="H12"/>
  <c r="I13"/>
  <c r="G13" i="13"/>
  <c r="G33" i="16"/>
  <c r="B20" i="20" s="1"/>
  <c r="B27" s="1"/>
  <c r="B10"/>
  <c r="G172" i="15"/>
  <c r="B11" i="20" s="1"/>
  <c r="H49" i="12"/>
  <c r="I50"/>
  <c r="I39"/>
  <c r="U39" s="1"/>
  <c r="I35"/>
  <c r="U35" s="1"/>
  <c r="I33"/>
  <c r="U33" s="1"/>
  <c r="I31"/>
  <c r="U31" s="1"/>
  <c r="I29"/>
  <c r="U29" s="1"/>
  <c r="I27"/>
  <c r="U27" s="1"/>
  <c r="AI24"/>
  <c r="H24"/>
  <c r="I41"/>
  <c r="U41" s="1"/>
  <c r="I37"/>
  <c r="U37" s="1"/>
  <c r="J22"/>
  <c r="AG91" i="11"/>
  <c r="U48" i="12"/>
  <c r="I47"/>
  <c r="J47" s="1"/>
  <c r="U25"/>
  <c r="AI14"/>
  <c r="S19"/>
  <c r="I18"/>
  <c r="J18" s="1"/>
  <c r="S13"/>
  <c r="I12"/>
  <c r="J12" s="1"/>
  <c r="AG12" i="11"/>
  <c r="AG41"/>
  <c r="I12"/>
  <c r="J12" l="1"/>
  <c r="J132" s="1"/>
  <c r="B7" i="20" s="1"/>
  <c r="I24" i="12"/>
  <c r="J24" s="1"/>
  <c r="S16"/>
  <c r="I14"/>
  <c r="J14" s="1"/>
  <c r="I49"/>
  <c r="J49" s="1"/>
  <c r="U50"/>
  <c r="G22" i="9"/>
  <c r="J54" i="12" l="1"/>
  <c r="B8" i="20" s="1"/>
  <c r="G280" i="9"/>
  <c r="AR277"/>
  <c r="G276"/>
  <c r="G270"/>
  <c r="G265"/>
  <c r="AR263"/>
  <c r="G262"/>
  <c r="AR258"/>
  <c r="G257"/>
  <c r="G254"/>
  <c r="G252"/>
  <c r="G250"/>
  <c r="AR246"/>
  <c r="G245"/>
  <c r="AR239"/>
  <c r="G238"/>
  <c r="G236"/>
  <c r="G233"/>
  <c r="G230"/>
  <c r="G225"/>
  <c r="G218"/>
  <c r="G211"/>
  <c r="G204"/>
  <c r="G201"/>
  <c r="G200"/>
  <c r="G198"/>
  <c r="G196"/>
  <c r="AR193"/>
  <c r="G192"/>
  <c r="AR189"/>
  <c r="G188"/>
  <c r="G185"/>
  <c r="AR183"/>
  <c r="G182"/>
  <c r="G159"/>
  <c r="G147"/>
  <c r="G141"/>
  <c r="G138"/>
  <c r="G135"/>
  <c r="G132"/>
  <c r="G129"/>
  <c r="G126"/>
  <c r="G123"/>
  <c r="G118"/>
  <c r="G115"/>
  <c r="G112"/>
  <c r="G107"/>
  <c r="AR102"/>
  <c r="G101"/>
  <c r="F100" l="1"/>
  <c r="F191"/>
  <c r="F244"/>
  <c r="G62"/>
  <c r="T613"/>
  <c r="U613"/>
  <c r="AJ596"/>
  <c r="AJ586"/>
  <c r="AJ582"/>
  <c r="AJ576"/>
  <c r="AJ575"/>
  <c r="AJ550"/>
  <c r="AJ536"/>
  <c r="AJ535"/>
  <c r="AJ493"/>
  <c r="AJ474"/>
  <c r="AJ469"/>
  <c r="AJ463"/>
  <c r="AJ454"/>
  <c r="AJ434"/>
  <c r="AJ397"/>
  <c r="AJ396"/>
  <c r="AJ395"/>
  <c r="AJ391"/>
  <c r="AJ389"/>
  <c r="AJ371"/>
  <c r="AJ370"/>
  <c r="AJ334"/>
  <c r="AJ319"/>
  <c r="AJ316"/>
  <c r="AJ301"/>
  <c r="AJ293"/>
  <c r="AJ289"/>
  <c r="AJ92"/>
  <c r="AJ72"/>
  <c r="AJ71"/>
  <c r="AJ70"/>
  <c r="AJ69"/>
  <c r="AJ68"/>
  <c r="AJ63"/>
  <c r="AJ59"/>
  <c r="AJ58"/>
  <c r="AJ57"/>
  <c r="AJ56"/>
  <c r="AJ55"/>
  <c r="AJ44"/>
  <c r="AJ10"/>
  <c r="AJ9"/>
  <c r="G8"/>
  <c r="F7" s="1"/>
  <c r="G12"/>
  <c r="G16"/>
  <c r="G27"/>
  <c r="G29"/>
  <c r="G32"/>
  <c r="G35"/>
  <c r="G40"/>
  <c r="G43"/>
  <c r="G47"/>
  <c r="G49"/>
  <c r="G54"/>
  <c r="G67"/>
  <c r="G79"/>
  <c r="G82"/>
  <c r="G85"/>
  <c r="G88"/>
  <c r="G91"/>
  <c r="G97"/>
  <c r="G284"/>
  <c r="F283" s="1"/>
  <c r="G288"/>
  <c r="G292"/>
  <c r="G297"/>
  <c r="G300"/>
  <c r="G305"/>
  <c r="G308"/>
  <c r="G315"/>
  <c r="G317"/>
  <c r="G318"/>
  <c r="G322"/>
  <c r="G325"/>
  <c r="G327"/>
  <c r="G333"/>
  <c r="G337"/>
  <c r="G343"/>
  <c r="G349"/>
  <c r="G351"/>
  <c r="G356"/>
  <c r="G359"/>
  <c r="G361"/>
  <c r="G362"/>
  <c r="G364"/>
  <c r="G366"/>
  <c r="G367"/>
  <c r="G369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90"/>
  <c r="G392"/>
  <c r="G394"/>
  <c r="G398"/>
  <c r="G399"/>
  <c r="G400"/>
  <c r="G401"/>
  <c r="G402"/>
  <c r="G403"/>
  <c r="G404"/>
  <c r="G405"/>
  <c r="G406"/>
  <c r="G407"/>
  <c r="G408"/>
  <c r="G411"/>
  <c r="G412"/>
  <c r="G414"/>
  <c r="G417"/>
  <c r="G419"/>
  <c r="G421"/>
  <c r="G424"/>
  <c r="G426"/>
  <c r="G428"/>
  <c r="G430"/>
  <c r="G433"/>
  <c r="G436"/>
  <c r="G439"/>
  <c r="G441"/>
  <c r="G443"/>
  <c r="G446"/>
  <c r="G448"/>
  <c r="G450"/>
  <c r="G453"/>
  <c r="G458"/>
  <c r="G462"/>
  <c r="G468"/>
  <c r="G473"/>
  <c r="G492"/>
  <c r="G497"/>
  <c r="G499"/>
  <c r="G501"/>
  <c r="G514"/>
  <c r="G515"/>
  <c r="G521"/>
  <c r="G523"/>
  <c r="G524"/>
  <c r="G526"/>
  <c r="G527"/>
  <c r="G528"/>
  <c r="G530"/>
  <c r="G532"/>
  <c r="G534"/>
  <c r="G542"/>
  <c r="G543"/>
  <c r="G546"/>
  <c r="G549"/>
  <c r="G568"/>
  <c r="G574"/>
  <c r="G577"/>
  <c r="G581"/>
  <c r="F580" s="1"/>
  <c r="G585"/>
  <c r="G589"/>
  <c r="G593"/>
  <c r="F592" s="1"/>
  <c r="G595"/>
  <c r="F594" s="1"/>
  <c r="F533" l="1"/>
  <c r="F567"/>
  <c r="F393"/>
  <c r="F304"/>
  <c r="F11"/>
  <c r="F442"/>
  <c r="F287"/>
  <c r="F500"/>
  <c r="F413"/>
  <c r="F360"/>
  <c r="F326"/>
  <c r="G613"/>
  <c r="B6" i="20" s="1"/>
  <c r="B13" s="1"/>
  <c r="B17" s="1"/>
  <c r="B26" l="1"/>
  <c r="B28" s="1"/>
  <c r="B23"/>
  <c r="B30" l="1"/>
</calcChain>
</file>

<file path=xl/sharedStrings.xml><?xml version="1.0" encoding="utf-8"?>
<sst xmlns="http://schemas.openxmlformats.org/spreadsheetml/2006/main" count="3244" uniqueCount="1756">
  <si>
    <t xml:space="preserve">Položkový rozpočet </t>
  </si>
  <si>
    <t>S:</t>
  </si>
  <si>
    <t>O:</t>
  </si>
  <si>
    <t>R:</t>
  </si>
  <si>
    <t>P.č.</t>
  </si>
  <si>
    <t>Číslo položky</t>
  </si>
  <si>
    <t>Název položky</t>
  </si>
  <si>
    <t>MJ</t>
  </si>
  <si>
    <t>množství</t>
  </si>
  <si>
    <t>cena / MJ</t>
  </si>
  <si>
    <t>celkem</t>
  </si>
  <si>
    <t>0321</t>
  </si>
  <si>
    <t>Škola Katov</t>
  </si>
  <si>
    <t>01</t>
  </si>
  <si>
    <t>Přístavba základní školy Katov</t>
  </si>
  <si>
    <t>Stavební část</t>
  </si>
  <si>
    <t>0</t>
  </si>
  <si>
    <t>Poznámka</t>
  </si>
  <si>
    <t>1</t>
  </si>
  <si>
    <t>311</t>
  </si>
  <si>
    <t>Sádrokartonové konstrukce</t>
  </si>
  <si>
    <t>93</t>
  </si>
  <si>
    <t>Dokončovací práce inženýrských staveb</t>
  </si>
  <si>
    <t>97</t>
  </si>
  <si>
    <t>Prorážení otvorů</t>
  </si>
  <si>
    <t>711</t>
  </si>
  <si>
    <t>Izolace proti vodě</t>
  </si>
  <si>
    <t>713</t>
  </si>
  <si>
    <t>Izolace tepelné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</si>
  <si>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</si>
  <si>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</si>
  <si>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</si>
  <si>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</si>
  <si>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</si>
  <si>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</si>
  <si>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</si>
  <si>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</si>
  <si>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781</t>
  </si>
  <si>
    <t>Obklady keramické</t>
  </si>
  <si>
    <t>783</t>
  </si>
  <si>
    <t>Nátěry</t>
  </si>
  <si>
    <t>784</t>
  </si>
  <si>
    <t>Malby</t>
  </si>
  <si>
    <t>790</t>
  </si>
  <si>
    <t>Vnitřní vybavení</t>
  </si>
  <si>
    <t>799</t>
  </si>
  <si>
    <t>Ostatní</t>
  </si>
  <si>
    <t>M99</t>
  </si>
  <si>
    <t>Tabulka podlah</t>
  </si>
  <si>
    <t>Díl:</t>
  </si>
  <si>
    <t>00</t>
  </si>
  <si>
    <t>Rozpočet je proveden v cenové soustavě RTS., Položky, které nejsou v cenové soustavě RTS</t>
  </si>
  <si>
    <t>kus</t>
  </si>
  <si>
    <t>jsou vytvořeny individuální kalkulací na základě jednotkových cen prací obdobného charakteru platných v dané době a v dané lokalitě a mají označení ve sloupci " číslo položky " :</t>
  </si>
  <si>
    <t>- velké PC před číslem položky nebo koncovku RG za číslem položky</t>
  </si>
  <si>
    <t>m3</t>
  </si>
  <si>
    <t>Mezisoučet</t>
  </si>
  <si>
    <t>m2</t>
  </si>
  <si>
    <t>kg</t>
  </si>
  <si>
    <t xml:space="preserve">1.NP : </t>
  </si>
  <si>
    <t>t</t>
  </si>
  <si>
    <t xml:space="preserve">2.NP : </t>
  </si>
  <si>
    <t>m</t>
  </si>
  <si>
    <t>342261213RT2</t>
  </si>
  <si>
    <t>Příčka sádrokarton. ocel.kce, 2x oplášť. tl.150 mm, desky protipožární tl. 12,5 mm, minerál tl. 7,5 cm</t>
  </si>
  <si>
    <t>(2,5+2,0+5,2+1,8+7,6+1,95)*3,17-0,9*2,0*2</t>
  </si>
  <si>
    <t>-6,0*1,2-0,8*2,0-0,7*2,0*2</t>
  </si>
  <si>
    <t>342261213RT4</t>
  </si>
  <si>
    <t>Příčka sádrokarton. ocel.kce, 2x oplášť. tl.150 mm, desky požár. impreg. tl. 12,5 mm, minerál tl.7,5 cm</t>
  </si>
  <si>
    <t>(2,5*3+1,5+2,0)*3,17-0,7*2,0*3</t>
  </si>
  <si>
    <t>(1,65*2+1,9+1,05+2,2)*2,8-0,8*2,0-0,7*2,0</t>
  </si>
  <si>
    <t>-1,1*2,0</t>
  </si>
  <si>
    <t>342262411RT4</t>
  </si>
  <si>
    <t>Příčka SDK instalační 2x OK, 2x opl. tl. 220 mm, desky požár. impreg. tl. 12,5 mm, minerál tl. 4 cm</t>
  </si>
  <si>
    <t>(3,4+1,05)*3,17</t>
  </si>
  <si>
    <t>1,0*2,8</t>
  </si>
  <si>
    <t>342263310RT2</t>
  </si>
  <si>
    <t>Úprava sádrokartonové příčky pro osazení umývadla, do ocelové konstrukce,</t>
  </si>
  <si>
    <t>1.NP : 6</t>
  </si>
  <si>
    <t>342263320R00</t>
  </si>
  <si>
    <t>Úprava sádrokartonové příčky pro osazení WC</t>
  </si>
  <si>
    <t>2.NP : 1</t>
  </si>
  <si>
    <t>342263360R00</t>
  </si>
  <si>
    <t>Úprava sádrokartonové příčky pro osazení baterie</t>
  </si>
  <si>
    <t>1.NP : 8</t>
  </si>
  <si>
    <t>342264051RT2</t>
  </si>
  <si>
    <t>Podhled sádrokartonový na  ocel. konstr., desky protipožární tl. 12,5 mm, bez izolace</t>
  </si>
  <si>
    <t>2,8*3,4+2,75+2,08+2,46+1,18+4,0+5,75</t>
  </si>
  <si>
    <t>2,95+13,59</t>
  </si>
  <si>
    <t>342264051RT4</t>
  </si>
  <si>
    <t>Podhled sádrokartonový na zavěšenou ocel. konstr., desky požár. impreg. tl. 12,5 mm, bez izolace</t>
  </si>
  <si>
    <t>8,84</t>
  </si>
  <si>
    <t>342264101R00</t>
  </si>
  <si>
    <t>Osazení reviz. dvířek do SDK, do 0,25 m2</t>
  </si>
  <si>
    <t>viz výkres podhledů</t>
  </si>
  <si>
    <t>1.NP : 3</t>
  </si>
  <si>
    <t>2.NP : 2</t>
  </si>
  <si>
    <t>342264091R00</t>
  </si>
  <si>
    <t>Příplatek k podhledu sádrokart. za tl. desek 15 mm</t>
  </si>
  <si>
    <t>44,28+8,84</t>
  </si>
  <si>
    <t>342264098R00</t>
  </si>
  <si>
    <t>Příplatek  za plochu do 10 m2</t>
  </si>
  <si>
    <t>2,8*3,4+2,75+2,08+2,46+1,18+4,0+5,75+8,84</t>
  </si>
  <si>
    <t>2,9</t>
  </si>
  <si>
    <t>342264051RG1</t>
  </si>
  <si>
    <t>Podhled sádrokartonový samonosný, desky protipož.impregn. tl. 15 mm, izolace tl. 300 mm</t>
  </si>
  <si>
    <t>včetně všech prostupů pro světla a prvky VZT - přesný popis viz specifikace podhledů.</t>
  </si>
  <si>
    <t>kompletní provedení podhledu ve skladbě S3 - dod + mont:</t>
  </si>
  <si>
    <t>- mineral.vlna tl. 300 mm</t>
  </si>
  <si>
    <t>- parotěsná folie na bázi polyamidu</t>
  </si>
  <si>
    <t>- kce SDK podhledu</t>
  </si>
  <si>
    <t xml:space="preserve">schodišť.vertikála : </t>
  </si>
  <si>
    <t>21,38</t>
  </si>
  <si>
    <t>342264051RG2</t>
  </si>
  <si>
    <t>Podhled sádrokartonový akust.v bezesparém provedení, desky tl. 15 mm, s průběžnými otvory, s akust.rounem</t>
  </si>
  <si>
    <t>3,85*6,25+4,45*4,57</t>
  </si>
  <si>
    <t>(3,85+6,25+4,45+4,6)*0,2*2</t>
  </si>
  <si>
    <t>342265122RG4</t>
  </si>
  <si>
    <t>Úprava podkroví sádrokarton. na ocel. rošt, šikmá, desky požár. impreg. tl. 15 mm, izol tl. 30 cm</t>
  </si>
  <si>
    <t>kompletní provedení podhledu ve skladbě S1 a S2 - dod + mont:</t>
  </si>
  <si>
    <t>- nosná kce podhledu - dřevoštěpk.desky tl.10 mm</t>
  </si>
  <si>
    <t xml:space="preserve">S 1 : </t>
  </si>
  <si>
    <t>13,0*8,1/2*2+(20,1+7,0)/2*8,1*2</t>
  </si>
  <si>
    <t xml:space="preserve">S 2 : </t>
  </si>
  <si>
    <t>12,5*2,3</t>
  </si>
  <si>
    <t xml:space="preserve">zapláštění krokví : </t>
  </si>
  <si>
    <t>1,8*1,0/2*4</t>
  </si>
  <si>
    <t>342267111RG4</t>
  </si>
  <si>
    <t>Obklad trámů sádrokartonem dvoustranný do 0,5/0,5m, desky protipožární impreg. tl. 15 mm</t>
  </si>
  <si>
    <t xml:space="preserve">obklad ocel.nosníků : </t>
  </si>
  <si>
    <t>2.NP : 6,2*2+14,8*2</t>
  </si>
  <si>
    <t>342267113RG4</t>
  </si>
  <si>
    <t>Obklad trámů sádrokartonem čtyřstranný do 0,5/0,5m, desky protipožární impreg. tl. 15 mm</t>
  </si>
  <si>
    <t>2.NP : 6,2*3</t>
  </si>
  <si>
    <t>59591091</t>
  </si>
  <si>
    <t>Dvířka do sádrokartonu 300/300 s tlačným zámkem</t>
  </si>
  <si>
    <t>1.NP : 2</t>
  </si>
  <si>
    <t>59591091.5</t>
  </si>
  <si>
    <t>Dvířka do sádrokartonu 500/500 s tlačným zámkem</t>
  </si>
  <si>
    <t>1.NP : 1</t>
  </si>
  <si>
    <t>34226-1999</t>
  </si>
  <si>
    <t>Předst sádrokarton. ocel.kce, 2x oplášť., desky protipož 2x tl.12,5 mm  izol. 40 mm</t>
  </si>
  <si>
    <t>Opláštění SDK pouze z jedné strany - krytí stoupaček,jader apod.</t>
  </si>
  <si>
    <t>(3,1+3,85)*3,17</t>
  </si>
  <si>
    <t>(7,0+0,3+0,1)*2,8</t>
  </si>
  <si>
    <t>PC 01</t>
  </si>
  <si>
    <t>Vyztužení SDK pro police,madlo,skř - dod+mont+osaz, drěvěný hranol,foška 20/5 apod.</t>
  </si>
  <si>
    <t>1.NP : 1*65,0</t>
  </si>
  <si>
    <t>2.NP : 1*40,0</t>
  </si>
  <si>
    <t>104 : (1,4+0,6+1,5*2)*2,0</t>
  </si>
  <si>
    <t>105 : (1,5*2+0,8*2+0,9*3+0,2)*2,0</t>
  </si>
  <si>
    <t>M2</t>
  </si>
  <si>
    <t>A 1 : 232,04</t>
  </si>
  <si>
    <t>A 3 : 9,79</t>
  </si>
  <si>
    <t>B 1 : 6,68</t>
  </si>
  <si>
    <t>B 2 : 15,75</t>
  </si>
  <si>
    <t>C 1 : 9,09</t>
  </si>
  <si>
    <t>A 2 : 18,47</t>
  </si>
  <si>
    <t>KUS</t>
  </si>
  <si>
    <t>931961112R00</t>
  </si>
  <si>
    <t>Vložky do dilatačních spár, miner. plst tl. 30 mm</t>
  </si>
  <si>
    <t xml:space="preserve">nehořlavé oddilatování komínu : </t>
  </si>
  <si>
    <t>0,4*2*3,2*2</t>
  </si>
  <si>
    <t xml:space="preserve">okolo objektu : </t>
  </si>
  <si>
    <t>1*20,0</t>
  </si>
  <si>
    <t>973031151R00</t>
  </si>
  <si>
    <t>Vysekání výklenků zeď cihel. MVC, pl. nad 0,25 m2</t>
  </si>
  <si>
    <t>Včetně pomocného lešení o výšce podlahy do 1900 mm a pro zatížení do 1,5 kPa  (150 kg/m2).</t>
  </si>
  <si>
    <t xml:space="preserve">pro hydrant : </t>
  </si>
  <si>
    <t>0,6*0,6*0,25</t>
  </si>
  <si>
    <t>973031324R00</t>
  </si>
  <si>
    <t>Vysekání kapes zeď cihel. MVC, pl. 0,1m2, hl. 15cm</t>
  </si>
  <si>
    <t xml:space="preserve">viz konstr.část : </t>
  </si>
  <si>
    <t>1.NP: : 1*10,0</t>
  </si>
  <si>
    <t>2.NP: : 1*9,0</t>
  </si>
  <si>
    <t>974031664R00</t>
  </si>
  <si>
    <t>Vysekání rýh zeď cihelná vtah. nosníků 15 x 15 cm</t>
  </si>
  <si>
    <t>1,0*2</t>
  </si>
  <si>
    <t>974082113R00</t>
  </si>
  <si>
    <t>Vysekání rýh pro vodiče omítka stěn MVC šířka 5 cm</t>
  </si>
  <si>
    <t xml:space="preserve">ve stáv.budově : </t>
  </si>
  <si>
    <t>1*65,0</t>
  </si>
  <si>
    <t>711111001RZ1</t>
  </si>
  <si>
    <t>Izolace proti vlhkosti vodor. nátěr ALP za studena, 1x nátěr - včetně dodávky penetračního laku ALP</t>
  </si>
  <si>
    <t xml:space="preserve">na podkl.beton : </t>
  </si>
  <si>
    <t>12,8*19,8+2,0*7,5+6,8*4,9</t>
  </si>
  <si>
    <t>711112001RZ1</t>
  </si>
  <si>
    <t>Izolace proti vlhkosti svis. nátěr ALP, za studena, 1x nátěr - včetně dodávky asfaltového laku</t>
  </si>
  <si>
    <t>(7,0+12,9+19,8+12,9+2,5)*0,8</t>
  </si>
  <si>
    <t xml:space="preserve">pod terenem : </t>
  </si>
  <si>
    <t>(6,5+7,5)*1,5</t>
  </si>
  <si>
    <t xml:space="preserve">pod schodištěm : </t>
  </si>
  <si>
    <t>(6,75+4,55+4,75+7,0)*1,3</t>
  </si>
  <si>
    <t>711141559RY2</t>
  </si>
  <si>
    <t>Izolace proti vlhk. vodorovná pásy přitavením, 1x -  včetně dod. SBS modif.pás se skelnou vl.s odoln.proti radonu</t>
  </si>
  <si>
    <t>Provedení očištění povrchu a natavení jedné vrstvy modifikovaného asfaltového pásu včetně dodávky materiálů.</t>
  </si>
  <si>
    <t>711142559RY2</t>
  </si>
  <si>
    <t>Izolace proti vlhkosti svislá pásy přitavením, 1x -  včetně dod. SBS modif.pás se skelnou vl.s odoln.proti radonu</t>
  </si>
  <si>
    <t>711212002R00</t>
  </si>
  <si>
    <t>Hydroizolační povlak - nátěr nebo stěrka</t>
  </si>
  <si>
    <t>dvouvrstvá</t>
  </si>
  <si>
    <t>C 1 : 9,09+(5,05*2+1,8*2)*0,15</t>
  </si>
  <si>
    <t>napojení na stáv.objekt : 1*15,0</t>
  </si>
  <si>
    <t>711745567R00</t>
  </si>
  <si>
    <t>Provedení obrácených a zpět. spojů, NAIP, rš 0,5 m</t>
  </si>
  <si>
    <t>7,0*2+12,9+19,8+12,9+2,5+6,5+7,5+6,7+4,8*2</t>
  </si>
  <si>
    <t>998711103R00</t>
  </si>
  <si>
    <t>Přesun hmot pro izolace proti vodě, výšky do 60 m</t>
  </si>
  <si>
    <t>713121111RT1</t>
  </si>
  <si>
    <t>Izolace tepelná podlah na sucho, jednovrstvá, materiál ve specifikaci</t>
  </si>
  <si>
    <t>713131131R00</t>
  </si>
  <si>
    <t>Izolace tepelná stěn lepením</t>
  </si>
  <si>
    <t>Očištění povrchu stěny od prachu, nařezání izolačních desek na požadovaný rozměr, nanesení lepicího tmelu, osazení desek.</t>
  </si>
  <si>
    <t xml:space="preserve">obklad dělící stěny viz řez A-A: : </t>
  </si>
  <si>
    <t>8,0*(1,8+0,4+0,3)</t>
  </si>
  <si>
    <t>713191100RT9</t>
  </si>
  <si>
    <t>Položení separační fólie, včetně dodávky fólie PE</t>
  </si>
  <si>
    <t>713191221R00</t>
  </si>
  <si>
    <t>Dilatační pásek podél stěn výšky 100 mm vč.dodávky</t>
  </si>
  <si>
    <t>A 1 : 236,0*0,8</t>
  </si>
  <si>
    <t>A 2 : 18,47*1,1</t>
  </si>
  <si>
    <t>A 3 : 9,79*1,8</t>
  </si>
  <si>
    <t>B 1 : 6,68*1,8</t>
  </si>
  <si>
    <t>C 1 : 5,13*1,8</t>
  </si>
  <si>
    <t>283757669</t>
  </si>
  <si>
    <t>Deska polystyrén samozhášivý EPS 150 S  tl.30 mm</t>
  </si>
  <si>
    <t>B 1 : 6,68*1,05</t>
  </si>
  <si>
    <t>283757689</t>
  </si>
  <si>
    <t>Deska polystyrén samozhášivý EPS 150 S  tl.80 mm</t>
  </si>
  <si>
    <t>A 1 : 232,04*1,05</t>
  </si>
  <si>
    <t>A 2 : 18,47*1,05</t>
  </si>
  <si>
    <t>A 3 : 9,79*1,05</t>
  </si>
  <si>
    <t>C 1 : 9,09*1,05</t>
  </si>
  <si>
    <t>283757699</t>
  </si>
  <si>
    <t>Deska polystyrén samozhášivý EPS 100 S  tl.150 mm</t>
  </si>
  <si>
    <t>8,0*(1,8+0,4+0,3)*1,05</t>
  </si>
  <si>
    <t>998713102R00</t>
  </si>
  <si>
    <t>Přesun hmot pro izolace tepelné, výšky do 12 m</t>
  </si>
  <si>
    <t xml:space="preserve">hranol 8/20 : </t>
  </si>
  <si>
    <t xml:space="preserve">12/18 : </t>
  </si>
  <si>
    <t xml:space="preserve">hranol 14/18 : </t>
  </si>
  <si>
    <t xml:space="preserve">16/16 : </t>
  </si>
  <si>
    <t xml:space="preserve">hranol 18/20 : </t>
  </si>
  <si>
    <t xml:space="preserve">16/22 : </t>
  </si>
  <si>
    <t xml:space="preserve">20/26 : </t>
  </si>
  <si>
    <t>766624042R00</t>
  </si>
  <si>
    <t>Montáž střešních oken rozměr 78/98 - 118 cm</t>
  </si>
  <si>
    <t>766661112R00</t>
  </si>
  <si>
    <t>Montáž dveří do zárubně,otevíravých 1kř.do 0,8 m</t>
  </si>
  <si>
    <t>7+2+2</t>
  </si>
  <si>
    <t>766661122R00</t>
  </si>
  <si>
    <t>Montáž dveří do zárubně,otevíravých 1kř.nad 0,8 m</t>
  </si>
  <si>
    <t>1+1+1+1+2+1</t>
  </si>
  <si>
    <t>766661422R00</t>
  </si>
  <si>
    <t>Montáž dveří protipožárních 1kříd. nad 80 cm</t>
  </si>
  <si>
    <t>766669111R00</t>
  </si>
  <si>
    <t>Dokování závěsů na universální zárubeň, 1křídlové</t>
  </si>
  <si>
    <t>11+7+1</t>
  </si>
  <si>
    <t>PC 10100</t>
  </si>
  <si>
    <t>DVEŘE VNI PL.HL. 70/197 cm,  DLE T/1  ODLEHČ.DTD, U VŠECH TRUHL.VÝROBKŮ JE ODKAZ NA TABULKU</t>
  </si>
  <si>
    <t>kde je uveden podrobný popis výrobku, dveře naceněny komplet včetně kování - druh kování viz popis k výrobku.Dveře jsou uvažovány lehčená DTD bez dutin a voštin.U požár.odol.veří cena včetně samozavírače - pokud je uveden.</t>
  </si>
  <si>
    <t>Včetně všech úprav uvedených v popisu ( zkrácení,systém gen.klíče apod )a povrch.úpravy vysokotlakým laminátem.</t>
  </si>
  <si>
    <t>PC 10200</t>
  </si>
  <si>
    <t>DVERE VNI PL.HL.80/197 cm, T/2  ODLEHČ.DTD</t>
  </si>
  <si>
    <t>PC 10300</t>
  </si>
  <si>
    <t>DVERE VNI PL.HL. 80/197 cm,  T/3  ODLEHČ.DTD</t>
  </si>
  <si>
    <t>PC 10400</t>
  </si>
  <si>
    <t>DVERE VNI PROSKL.HL. 90/197 cm,  T/4   ODLEHČ.DTD, bezpečn.sklo,terčíky</t>
  </si>
  <si>
    <t>PC 10500</t>
  </si>
  <si>
    <t>DVERE VNI PL.HL. 90/197 cm,  T/5</t>
  </si>
  <si>
    <t>PC 10600</t>
  </si>
  <si>
    <t>DVERE VNI PL.HL. 90/197 cm,  T/6</t>
  </si>
  <si>
    <t>PC 10700</t>
  </si>
  <si>
    <t>DVERE VNI PL.HL. 90/197 cm,  T/7   ODLEHČ.DTD</t>
  </si>
  <si>
    <t>PC 10800</t>
  </si>
  <si>
    <t>DVERE VNI PL.HL. 90/197 cm,  T/8   ODLEHČ.DTD</t>
  </si>
  <si>
    <t>PC 10900</t>
  </si>
  <si>
    <t>DVERE VNI PL.HL. 110/197 cm,  T/9   ODLEHČ.DTD</t>
  </si>
  <si>
    <t>PC 11000</t>
  </si>
  <si>
    <t>DVERE VNI PROSKL.HL. 110/197 cm,  T/10  POŽÁR.VÝPLŇ, EW 15/DP3 - C, VČETNĚ SAMOZAVÍÍRAČE, SKLO BEZPEČN</t>
  </si>
  <si>
    <t>PC 11100</t>
  </si>
  <si>
    <t>STĚNA VNI PROSKL.HL.- DVEŘE  80/197 cm + OKNO 235/117 cm, sklo bezpečn. terčíky komplet dle T/11</t>
  </si>
  <si>
    <t>PC 11200</t>
  </si>
  <si>
    <t>POZOROVACÍ OKNO FIX, BEZPEČN.SKLO 90/117 cm, dřevěný rám, dle T/12</t>
  </si>
  <si>
    <t>PC 11300</t>
  </si>
  <si>
    <t>POZOROVACÍ OKNO FIX, BEZPEČN.SKLO  600/120 cm, dřevěný rám, dle T/13</t>
  </si>
  <si>
    <t>PC 11400</t>
  </si>
  <si>
    <t>STŘEŠNÍ OKNO VÝKLOPNÉ, bezúdržbové, vel.78/118 cm, klika, ventilace komplet dle T/14</t>
  </si>
  <si>
    <t>PC 11401</t>
  </si>
  <si>
    <t>STŘEŠNÍ OKNO vel.78/118 cm, zateplovací sada s lemováním</t>
  </si>
  <si>
    <t>PC 11402</t>
  </si>
  <si>
    <t>STŘEŠNÍ OKNO vel.78/118 cm, vni žaluzie s bočním vedením</t>
  </si>
  <si>
    <t>PC 11700</t>
  </si>
  <si>
    <t>MADLO AL KOSTRA + DŘEVĚNÝ KRYT Js 40 mm, konzoly, systém spojky komplet dle T/17</t>
  </si>
  <si>
    <t>PC 11800</t>
  </si>
  <si>
    <t>DŘEV.ZÁBRADLÍ TVOŘENÉ MADLEM S AL KOSTROU, a dřevěným krytem, systém spojky,dle T/18</t>
  </si>
  <si>
    <t>dle obrázku</t>
  </si>
  <si>
    <t>PC 11900</t>
  </si>
  <si>
    <t>DŘEV.ZÁBRADLÍ TVOŘENÉ MADLEM S AL KOSTROU, a dřevěným krytem, systém spojky,dle T/19</t>
  </si>
  <si>
    <t>998766102R00</t>
  </si>
  <si>
    <t>Přesun hmot pro truhlářské konstr., výšky do 12 m</t>
  </si>
  <si>
    <t>PC 20100</t>
  </si>
  <si>
    <t xml:space="preserve"> MADLO WC IMOBILNÍ, PEVNÉ A SKLOPNÉ, VYPAL.LAK, dod+mont dle Z/1, dl.madel 800 mm a 900 mm</t>
  </si>
  <si>
    <t>POZNÁMKA K ZÁMEČNICKÝM VÝROBKŮM</t>
  </si>
  <si>
    <t>Všechny výrobky jsou naceněny komplet dod+mont vč.zasklení,kování,povrch. úpravy,samozavírače,osazení,obkladu ostění,madel a pák.uzávěru.</t>
  </si>
  <si>
    <t>U každé položky je uveden odkaz na tabulku,kde je uveden přesný popis daného výrobku.</t>
  </si>
  <si>
    <t>PC 20500</t>
  </si>
  <si>
    <t>MADLO PEVNE DL. 500 mm dle Z/5, nerez Js 28 mm</t>
  </si>
  <si>
    <t>PC 20600</t>
  </si>
  <si>
    <t>DVEŘE DO SPRCH.KOUTU 90/202 cm, AL RÁM, sklo bezp.mat 6,0 mm, komplet provedení dle Z/6</t>
  </si>
  <si>
    <t>PC 20700</t>
  </si>
  <si>
    <t xml:space="preserve">LAMEL.STĚNOVÁ MŘÍŽKA 150/150 mm,RÁM,, POVRCH.ÚPRAVA,DOD+MONT DLE Z/7, </t>
  </si>
  <si>
    <t>PC 21000</t>
  </si>
  <si>
    <t xml:space="preserve">PLECH.DVEŘE PROSKL.OTEV. 90/197 cm,, EW 30/DP3-C - KOVÁNÍ,POVRCH.ÚPRAVA DOD+MONT DLE Z/10, </t>
  </si>
  <si>
    <t>PC 21100</t>
  </si>
  <si>
    <t xml:space="preserve">OZNAČENÍ ŠKOLNÍ BUDOVY STÁTNÍM ZNAKEM, DOD+MONT DLE Z/11, </t>
  </si>
  <si>
    <t>PC 21200</t>
  </si>
  <si>
    <t xml:space="preserve">UNIVERSAL STŘEŠNÍ VÝLEZ 60/60 cm,BEZÚDRŽ.VODOTĚSNÝ, POVRCH.ÚPRAVA,DOD+MONT DLE Z/12, </t>
  </si>
  <si>
    <t>PC 21300</t>
  </si>
  <si>
    <t>UNIVERSAL PŮDNÍ STAH.SCHODY 60/100 CM, ZATEPLENÉ,POŽ.ODOLNÉ DOD+MONT DLE Z/13</t>
  </si>
  <si>
    <t>PC 25000</t>
  </si>
  <si>
    <t>NEREZ PRAH LISTA DL. 800 mm, dod+mont vč.podtmelení</t>
  </si>
  <si>
    <t>PC 25001</t>
  </si>
  <si>
    <t>NEREZ PRAH LISTA DL. 900 mm, dod+mont vč.podtmelení</t>
  </si>
  <si>
    <t>PC 25002</t>
  </si>
  <si>
    <t>NEREZ PRAH LISTA DL. 1100 mm, dod+mont vč.podtmelení</t>
  </si>
  <si>
    <t>PC 39300</t>
  </si>
  <si>
    <t>POMOCNÉ OCEL.KCE, dod + mont + osazení</t>
  </si>
  <si>
    <t>1.NP : 1*250,0</t>
  </si>
  <si>
    <t>2.NP : 1*120,0</t>
  </si>
  <si>
    <t>PC 40000</t>
  </si>
  <si>
    <t>VSTUPNÍ BRANKA S PLETIVEM š. 100 cm - dod+mont včetně základu, otevíravá - dle investora</t>
  </si>
  <si>
    <t>998767102R00</t>
  </si>
  <si>
    <t>Přesun hmot pro zámečnické konstr., výšky do 12 m</t>
  </si>
  <si>
    <t>771101210R00</t>
  </si>
  <si>
    <t>Penetrace podkladu pod dlažby</t>
  </si>
  <si>
    <t>771275206R00</t>
  </si>
  <si>
    <t>Obklad keram.schod.stupňů relief.do tmele 20x10</t>
  </si>
  <si>
    <t>771475034R00</t>
  </si>
  <si>
    <t>Obklad soklíků keram.stupňov., tmel,v 10 cm</t>
  </si>
  <si>
    <t>204 : 21*0,5+14*0,5</t>
  </si>
  <si>
    <t>771475014R00</t>
  </si>
  <si>
    <t>Obklad soklíků keram.rovných, tmel,výška 10 cm</t>
  </si>
  <si>
    <t>204 : 1,5*2+4,45</t>
  </si>
  <si>
    <t>771479001R00</t>
  </si>
  <si>
    <t>Řezání dlaždic keramických pro soklíky</t>
  </si>
  <si>
    <t>17,5+7,45</t>
  </si>
  <si>
    <t>771575205RT2</t>
  </si>
  <si>
    <t>Montáž podlah keram.,režné relief., tmel, 30x30 cm</t>
  </si>
  <si>
    <t>771578011R00</t>
  </si>
  <si>
    <t>Spára podlaha - stěna, silikonem</t>
  </si>
  <si>
    <t>771579795R00</t>
  </si>
  <si>
    <t>Příplatek za spárování vodotěsnou hmotou - plošně</t>
  </si>
  <si>
    <t>552 15698</t>
  </si>
  <si>
    <t>Dod+mont nerez ukončovací lišty tvaru L uzavír.</t>
  </si>
  <si>
    <t>dlaždice proti stečení vody v zrcadle schodiště.</t>
  </si>
  <si>
    <t>0,5*8</t>
  </si>
  <si>
    <t>597 63821</t>
  </si>
  <si>
    <t>DLAZBA KERAM.300/300 PROTISKLUZNÁ, dodávka dle investora</t>
  </si>
  <si>
    <t>B 1 : 6,68*1,1</t>
  </si>
  <si>
    <t>sokl : 24,95*0,1*1,05</t>
  </si>
  <si>
    <t>597 63828</t>
  </si>
  <si>
    <t>DLAŽDICE KERAM.200/200 ,schodovky - dodávka, dle investora</t>
  </si>
  <si>
    <t>B 2 : 15,75*1,1</t>
  </si>
  <si>
    <t>998771102R00</t>
  </si>
  <si>
    <t>Přesun hmot pro podlahy z dlaždic, výšky do 12 m</t>
  </si>
  <si>
    <t>776521100RT1</t>
  </si>
  <si>
    <t>Lepení povlakových podlah z pásů  na lepidlo, pouze položení - materiál ve specifikaci</t>
  </si>
  <si>
    <t>776522110R00</t>
  </si>
  <si>
    <t>Lepení podlah z pásů, mokrý provoz</t>
  </si>
  <si>
    <t>776971318R00</t>
  </si>
  <si>
    <t>Rohož textilní dočišťovací tl. 17 mm, včetně lem.kovového rámu dle Z/2</t>
  </si>
  <si>
    <t>776972127R00</t>
  </si>
  <si>
    <t>Rohož z Al profilů + pryže standard tl. 27 mm, včetně rámu dle</t>
  </si>
  <si>
    <t>Z/3 : 0,89*1,35</t>
  </si>
  <si>
    <t>Z/4 : 1,5*0,96</t>
  </si>
  <si>
    <t>776994111RT1</t>
  </si>
  <si>
    <t>Svařování povlakových podlah z pásů nebo čtverců, včetně svařovací šňůry PVC</t>
  </si>
  <si>
    <t>bráno na 1 m2 - 1 bm svaru</t>
  </si>
  <si>
    <t>776590140RG1</t>
  </si>
  <si>
    <t>Podlahy povlakové - vícebarevné kladení dle projektu</t>
  </si>
  <si>
    <t>A 1 : 236,0</t>
  </si>
  <si>
    <t>284 43010</t>
  </si>
  <si>
    <t>Specif.- Podlahovina PVC 1 standard  tl.2,0 mm, vinyl podlaha v rolích</t>
  </si>
  <si>
    <t>Přesný popis viz skladby podlah a požadavek investora.</t>
  </si>
  <si>
    <t xml:space="preserve">vytažení : </t>
  </si>
  <si>
    <t>159,25*0,1*1,05</t>
  </si>
  <si>
    <t>284 43055</t>
  </si>
  <si>
    <t>Specif.- Podlahovina PVC protiskluzné  tl.2,0 mm, vinyl s nopy určená pro sprchy  s 3D efektem</t>
  </si>
  <si>
    <t>23,1*0,1*1,05</t>
  </si>
  <si>
    <t>776220189</t>
  </si>
  <si>
    <t>Vytažení lina na stěnu v.100mm,úprava ukončení, akrylátem (obkl),vyplnění rohu pryž.klínem Js 25mm</t>
  </si>
  <si>
    <t>M</t>
  </si>
  <si>
    <t>Ukončení čepcovým těsněním,penetrace podkladu.</t>
  </si>
  <si>
    <t xml:space="preserve">pro PVC 1 : </t>
  </si>
  <si>
    <t xml:space="preserve">102 : </t>
  </si>
  <si>
    <t xml:space="preserve">103 : </t>
  </si>
  <si>
    <t>104 : 1,4+0,6+1,5*2</t>
  </si>
  <si>
    <t>105 : 1,5*2+0,8*2+0,9*3+0,2</t>
  </si>
  <si>
    <t>106 : 1,2*4+0,9+0,2*3</t>
  </si>
  <si>
    <t>107 : 1,2*4+0,95+0,25*3</t>
  </si>
  <si>
    <t>108 : 1,3+0,6+0,9*2</t>
  </si>
  <si>
    <t>110 : 1,6+0,8+2,5*2</t>
  </si>
  <si>
    <t>112 : 12,2+10,6+6,6*2</t>
  </si>
  <si>
    <t>113 : 7,45+6,55+7,6+7,6</t>
  </si>
  <si>
    <t>114 : 4,6+3,8+7,6*2</t>
  </si>
  <si>
    <t>115 : 3,1*2+1,1*2</t>
  </si>
  <si>
    <t>116 : 3,7*2+1,95+1,05</t>
  </si>
  <si>
    <t>201 : 1,65+1,6+0,9*2+0,9*3+0,1</t>
  </si>
  <si>
    <t>204 : 2,0+1,5+1,3+1,4+1,2</t>
  </si>
  <si>
    <t>776220199</t>
  </si>
  <si>
    <t>Vytažení lina na stěnu v.100mm,úprava ukončení, akrylátem (obkl) vyplnění rohu pryž.klínem Js 25mm</t>
  </si>
  <si>
    <t xml:space="preserve">pro protiskluzné PVC : </t>
  </si>
  <si>
    <t>109 : 3,5+4,3+2,5+1,8</t>
  </si>
  <si>
    <t>111 : 2,5*2+3,0*2</t>
  </si>
  <si>
    <t>776575399</t>
  </si>
  <si>
    <t>Stěrková izolace jednosl.na bázi syntet.disperze - 2x, včetně výztužného prvku v koutu</t>
  </si>
  <si>
    <t>998776102R00</t>
  </si>
  <si>
    <t>Přesun hmot pro podlahy povlakové, výšky do 12 m</t>
  </si>
  <si>
    <t>781415014RT2</t>
  </si>
  <si>
    <t>Montáž obkladů stěn, porovin., do tmele, 20x20 cm, 20 x 10 cm, včetně parapetu a ostění</t>
  </si>
  <si>
    <t>106 : (1,2*4+0,9+0,2*3)*2,0</t>
  </si>
  <si>
    <t>107 : (1,2*4+0,95+0,25*3)*2,0</t>
  </si>
  <si>
    <t>108 : (1,3+0,6+0,9*2)*2,0</t>
  </si>
  <si>
    <t>109 : (4,3+1,1+2,5+1,8)*2,0+2,4*1,1</t>
  </si>
  <si>
    <t>110 : 1,5*3,9</t>
  </si>
  <si>
    <t>112-4 : 1,5*0,9*3</t>
  </si>
  <si>
    <t>115 : (3,1*2+1,1*2)*2,0</t>
  </si>
  <si>
    <t>201 : (1,65+1,6+0,9*2+0,9*3+0,1)*2,0</t>
  </si>
  <si>
    <t>781419706RT2</t>
  </si>
  <si>
    <t>Příplatek za spárovací vodotěsnou hmotu - plošně</t>
  </si>
  <si>
    <t>781419711R00</t>
  </si>
  <si>
    <t>Příplatek k obkladu stěn za plochu do 10 m2 jedntl</t>
  </si>
  <si>
    <t>781491001RT1</t>
  </si>
  <si>
    <t>Montáž lišt k obkladům, rohových, koutových i dilatačních</t>
  </si>
  <si>
    <t>122,44*0,6</t>
  </si>
  <si>
    <t>781419700RG1</t>
  </si>
  <si>
    <t>Příplatek za vícebarevné kladení a různou velikost, výkaz výměr viz předchozí pol.</t>
  </si>
  <si>
    <t>299 91115</t>
  </si>
  <si>
    <t>UKONCUJICI LISTA - dodávka</t>
  </si>
  <si>
    <t>73,46*1,1</t>
  </si>
  <si>
    <t>553 20600</t>
  </si>
  <si>
    <t>NÁSTĚNNÉ ZRCADLO 800/600 mm viz Z/8, zapuštěné do obkladu,lepené komplet dod+mont</t>
  </si>
  <si>
    <t>553 20700</t>
  </si>
  <si>
    <t>VÝKLOPNÉ ZRCADLO  400/600 mm viz Z/9, v ose umývadla, nerez rám komplet dod+mont</t>
  </si>
  <si>
    <t>597 64552</t>
  </si>
  <si>
    <t>OBKLAD KERAMICKÝ 200/200, 300/200 mm , DODÁVKA DLE INVESTORA</t>
  </si>
  <si>
    <t>122,44*1,1</t>
  </si>
  <si>
    <t>781575399</t>
  </si>
  <si>
    <t>Stěrková izolace jednosl.na bázi syntet.disperze</t>
  </si>
  <si>
    <t>109 : (3,5+4,3+2,5+1,8)*0,3+(1,05*2+0,9)*2,0</t>
  </si>
  <si>
    <t>998781102R00</t>
  </si>
  <si>
    <t>Přesun hmot pro obklady keramické, výšky do 12 m</t>
  </si>
  <si>
    <t>783225600R00</t>
  </si>
  <si>
    <t>Nátěr syntetický kovových konstrukcí 2x email</t>
  </si>
  <si>
    <t>Nátěr - vysoký standard - otěruvzdorný,vodovzdorný,</t>
  </si>
  <si>
    <t>odol.desinfekci,stálobarevný.Nátěr v pastelových barvách.</t>
  </si>
  <si>
    <t xml:space="preserve">zárubně : </t>
  </si>
  <si>
    <t>(4,7*7+4,8*5+4,9*9+5,1*2)*0,35</t>
  </si>
  <si>
    <t xml:space="preserve">pomocné ocel.kce : </t>
  </si>
  <si>
    <t>370,0*0,065</t>
  </si>
  <si>
    <t>ostatní : 1*25,0</t>
  </si>
  <si>
    <t>783226100R00</t>
  </si>
  <si>
    <t>Nátěr syntetický kovových konstrukcí základní</t>
  </si>
  <si>
    <t>783237100R00</t>
  </si>
  <si>
    <t>Nátěr syntetický kov. konstr zákl. antikor</t>
  </si>
  <si>
    <t xml:space="preserve">ocel.kce krovu - viz konstr.část : </t>
  </si>
  <si>
    <t>303,98</t>
  </si>
  <si>
    <t>783522900R00</t>
  </si>
  <si>
    <t>Údržba, nátěr syntet. klempířských konstr. Z + 2 x</t>
  </si>
  <si>
    <t xml:space="preserve">oprava na stáv.objektu : </t>
  </si>
  <si>
    <t>1*10,0</t>
  </si>
  <si>
    <t>783782205R00</t>
  </si>
  <si>
    <t>Nátěr tesařských konstrukcí proti hnilobě a houbám</t>
  </si>
  <si>
    <t>včetně montáže, dodávky a demontáže lešení.</t>
  </si>
  <si>
    <t>7,09*12*0,56</t>
  </si>
  <si>
    <t>418,0*0,6</t>
  </si>
  <si>
    <t>7,0*0,64</t>
  </si>
  <si>
    <t>88,87*0,64</t>
  </si>
  <si>
    <t>5,5*0,76</t>
  </si>
  <si>
    <t>16,65*0,76</t>
  </si>
  <si>
    <t>10,28*4*0,92</t>
  </si>
  <si>
    <t xml:space="preserve">latě : </t>
  </si>
  <si>
    <t>389,2*4,5*0,2</t>
  </si>
  <si>
    <t>784171201R00</t>
  </si>
  <si>
    <t>Penetrace podkladu nátěrem</t>
  </si>
  <si>
    <t xml:space="preserve">SDK viz oddíl 311 : </t>
  </si>
  <si>
    <t>(51,5+49,1+16,9)*2</t>
  </si>
  <si>
    <t>44,3+8,8+21,4+51,06+357,2+42,8</t>
  </si>
  <si>
    <t xml:space="preserve">omítka viz oddíl 61 : </t>
  </si>
  <si>
    <t>190,3+34,9+518,28+45,0</t>
  </si>
  <si>
    <t>784195322R00</t>
  </si>
  <si>
    <t>Malba tekutá , barva, 2 x</t>
  </si>
  <si>
    <t>Omyvatelná,otěruvzdorná a propustná pro vodní páry.</t>
  </si>
  <si>
    <t>( odolnost pro mytí min.5000 cyklů )</t>
  </si>
  <si>
    <t>784452951R00</t>
  </si>
  <si>
    <t>Oprava,směs tekut.2x, 2bar+strop, obrus míst. 3,8m</t>
  </si>
  <si>
    <t xml:space="preserve">oprava stáv.objekt : </t>
  </si>
  <si>
    <t>PC 08</t>
  </si>
  <si>
    <t>PROTIPOŽ.EXPANDUJÍCÍ PISTOLOVÁ PĚNA, O OBSAHU 300 ml - dodávka</t>
  </si>
  <si>
    <t>Třída reakce na oheň B-s1,d0 dle normy EN 13501-1.Jednosložková izolační PUR pěna s prokazatelnou odolností proti ohni a s dalšími doplňkovými charakteristikami.</t>
  </si>
  <si>
    <t>1.NP : 1*4</t>
  </si>
  <si>
    <t>2.NP : 1*3</t>
  </si>
  <si>
    <t>PC 09</t>
  </si>
  <si>
    <t>PROTIPOŽ.VLOŽKY VE TVARU SÁČKŮ ZE, směsi inertního plniva a zpěnitelného grafitu</t>
  </si>
  <si>
    <t>dod + mont, hustota 230-430 g/l, reakce na oheň F,objem 2l, velikost 320/200 mm.</t>
  </si>
  <si>
    <t>1.NP : 6*4</t>
  </si>
  <si>
    <t>2.NP : 5*4</t>
  </si>
  <si>
    <t>PC 10</t>
  </si>
  <si>
    <t>TĚSNĚNÍ SPAR MONT.PĚNOU - montáž</t>
  </si>
  <si>
    <t>1.NP : 1*4*8</t>
  </si>
  <si>
    <t>2.NP : 1*3*8</t>
  </si>
  <si>
    <t>PC 11</t>
  </si>
  <si>
    <t>Hasicí přístroj - práškový s hasící schopností 21 A</t>
  </si>
  <si>
    <t>TABULKA PLOCH PODLAH, Položku nenaceňovat.</t>
  </si>
  <si>
    <t>Jedná se pouze o výpočet výměr podlah,tyto jsou potom dosazeny do jednotl.oddílů.</t>
  </si>
  <si>
    <t xml:space="preserve">A 1 : </t>
  </si>
  <si>
    <t>11,61+21,38+2,1+2,75+2,08+2,46+1,18+4,0</t>
  </si>
  <si>
    <t>80,28+56,4+34,82+5,75+7,23</t>
  </si>
  <si>
    <t xml:space="preserve">A 2 : </t>
  </si>
  <si>
    <t>8,84+9,63</t>
  </si>
  <si>
    <t xml:space="preserve">A 3 : </t>
  </si>
  <si>
    <t>2,95+6,84</t>
  </si>
  <si>
    <t xml:space="preserve">B 1 : </t>
  </si>
  <si>
    <t>4,45*1,5</t>
  </si>
  <si>
    <t xml:space="preserve">B 2 : </t>
  </si>
  <si>
    <t>1,5*21*0,5</t>
  </si>
  <si>
    <t xml:space="preserve">C 1 : </t>
  </si>
  <si>
    <t>9,09</t>
  </si>
  <si>
    <t xml:space="preserve">D 1 : </t>
  </si>
  <si>
    <t>13,59+234,85</t>
  </si>
  <si>
    <t>61</t>
  </si>
  <si>
    <t>Upravy povrchů vnitřní</t>
  </si>
  <si>
    <t>601011141RT3</t>
  </si>
  <si>
    <t>Štuk na stropech , tloušťka vrstvy 4 mm</t>
  </si>
  <si>
    <t>Včetně pomocného lešení.</t>
  </si>
  <si>
    <t>5,13+15,57+21,38+2,1+9,63+34,82+7,23</t>
  </si>
  <si>
    <t>112 : 80,23-3,58*6,2</t>
  </si>
  <si>
    <t>113 : 56,4-4,45*4,5</t>
  </si>
  <si>
    <t>610991111R00</t>
  </si>
  <si>
    <t>Zakrývání výplní vnitřních otvorů</t>
  </si>
  <si>
    <t>1,3*1,8*14+1,3*1,3*4+0,9*1,8</t>
  </si>
  <si>
    <t>1,3*0,7*13+6,5*1,5</t>
  </si>
  <si>
    <t>611401111RT2</t>
  </si>
  <si>
    <t>Oprava omítky na stropech o ploše do 0,09 m2, s použitím maltové směsi</t>
  </si>
  <si>
    <t xml:space="preserve">stávající budova : </t>
  </si>
  <si>
    <t>1*2,0</t>
  </si>
  <si>
    <t>611401211RT2</t>
  </si>
  <si>
    <t>Oprava omítky na stropech o ploše do 0,25 m2, s použitím maltové směsi</t>
  </si>
  <si>
    <t>611901111R00</t>
  </si>
  <si>
    <t>Ubroušení výstupků betonu po odbednění stropů</t>
  </si>
  <si>
    <t>612401191RT2</t>
  </si>
  <si>
    <t>Omítka malých ploch vnitřních stěn do 0,09 m2, s použitím suché maltové směsi</t>
  </si>
  <si>
    <t>1*4,0</t>
  </si>
  <si>
    <t>612401291RT2</t>
  </si>
  <si>
    <t>Omítka malých ploch vnitřních stěn do 0,25 m2, s použitím suché maltové směsi</t>
  </si>
  <si>
    <t>612401391RT2</t>
  </si>
  <si>
    <t>Omítka malých ploch vnitřních stěn do 1 m2, s použitím suché maltové směsi</t>
  </si>
  <si>
    <t>612403399R00</t>
  </si>
  <si>
    <t>Hrubá výplň rýh ve stěnách maltou</t>
  </si>
  <si>
    <t>8,0*0,15</t>
  </si>
  <si>
    <t>612409991RT2</t>
  </si>
  <si>
    <t>Začištění omítek kolem oken,dveří apod., s použitím maltové směsi</t>
  </si>
  <si>
    <t>5,1*4</t>
  </si>
  <si>
    <t>612423531RT2</t>
  </si>
  <si>
    <t>Omítka rýh stěn vápenná šířky do 15 cm, štuková, s použitím suché maltové směsi</t>
  </si>
  <si>
    <t xml:space="preserve">ve  stáv.budově pro EL: : </t>
  </si>
  <si>
    <t>1*20,0*0,15</t>
  </si>
  <si>
    <t>612425931RT2</t>
  </si>
  <si>
    <t>Omítka vápenná vnitřního ostění - štuková, s použitím suché maltové směsi</t>
  </si>
  <si>
    <t>(1,25+1,8)*0,2*2*14+1,25*0,2*4*4+2,6*2*0,2</t>
  </si>
  <si>
    <t>4,9*0,15*3</t>
  </si>
  <si>
    <t>(1,25+0,65)*0,2*2*13+4,9*0,15</t>
  </si>
  <si>
    <t>612473181R00</t>
  </si>
  <si>
    <t>Omítka vnitřního zdiva ze suché směsi, hladká</t>
  </si>
  <si>
    <t xml:space="preserve">pod obklad : </t>
  </si>
  <si>
    <t>106 : (1,2*2+0,9)*2,0</t>
  </si>
  <si>
    <t>107 : 0,95*2,0</t>
  </si>
  <si>
    <t>109 : 3,4*2,0</t>
  </si>
  <si>
    <t>112 : 1,5*0,9</t>
  </si>
  <si>
    <t>115 : (3,1+1,1)*2,0</t>
  </si>
  <si>
    <t>201 : 1,65*2,0</t>
  </si>
  <si>
    <t>612473182R00</t>
  </si>
  <si>
    <t>Omítka vnitřního zdiva ze suché směsi, štuková</t>
  </si>
  <si>
    <t>101 : 5,05*3,0</t>
  </si>
  <si>
    <t>102 : (6,45+1,8)*3,0-0,9*2,0*3</t>
  </si>
  <si>
    <t>103 : (6,75+4,45+3,3)*3,0-0,9*2,0*2</t>
  </si>
  <si>
    <t>104 : (1,4+1,5)*1,0*2</t>
  </si>
  <si>
    <t>105 : (1,5+0,9)*1,0*2*2</t>
  </si>
  <si>
    <t>106,7 : (0,9*2+1,2*2)*1,0</t>
  </si>
  <si>
    <t>109 : 4,3*1,0</t>
  </si>
  <si>
    <t>110 : 1,6*3,0-0,9*1,2</t>
  </si>
  <si>
    <t>111 : (3,85+2,5+0,6)*3,0-0,9*2,0+0,7*1,8</t>
  </si>
  <si>
    <t>112 : (12,2+6,6)*3,0*2-0,9*2,0*2-2,4*1,2-1,25*1,8*10</t>
  </si>
  <si>
    <t>113,4 : (12,2+7,6)*3,0*2-0,9*2,0*2-1,25*1,8*8</t>
  </si>
  <si>
    <t>115 : (3,1+1,9)*3,0-0,9*2,0</t>
  </si>
  <si>
    <t>116 : (3,7+1,95)*3,0</t>
  </si>
  <si>
    <t>201 : 1,65*1,0</t>
  </si>
  <si>
    <t>202 : (1,9+7,0)*2,5-0,9*2,0</t>
  </si>
  <si>
    <t>203 : (12,2+19,2)*1,55*2-1,25*0,65*13</t>
  </si>
  <si>
    <t>9,5*2,0-0,9*2,0</t>
  </si>
  <si>
    <t>204 : (6,9+4,45+4,7)*3,0-6,2*1,2</t>
  </si>
  <si>
    <t xml:space="preserve">vyspravení ve stáv.objektu : </t>
  </si>
  <si>
    <t>1*25,0</t>
  </si>
  <si>
    <t>612481211RT5</t>
  </si>
  <si>
    <t xml:space="preserve">Montáž výztužné sítě (perlinky) do stěrky-stěny, včetně výztužné sítě a stěrkového tmelu </t>
  </si>
  <si>
    <t>přechody materiálů, kouty, rohy.</t>
  </si>
  <si>
    <t>500,28*0,4</t>
  </si>
  <si>
    <t>615481111R00</t>
  </si>
  <si>
    <t>Potažení válc.nosníků rabic.pletivem a postřik MC</t>
  </si>
  <si>
    <t>4,1*1,2+1,6*1,0</t>
  </si>
  <si>
    <t>PC 02</t>
  </si>
  <si>
    <t>Nátěr stropu pod podhled proti sprášivosti betonu, dod + montáž včetně lešení</t>
  </si>
  <si>
    <t>Dodávka a montáž v kompletní skladbě daného systému,  včetně všech doplňkových a pomocných konstrukcí materiálů a prací</t>
  </si>
  <si>
    <t>44,3+8,8+51,06+42,8</t>
  </si>
  <si>
    <t>63</t>
  </si>
  <si>
    <t>Podlahy a podlahové konstrukce</t>
  </si>
  <si>
    <t>631313621R00</t>
  </si>
  <si>
    <t>Mazanina betonová tl. 8 - 12 cm C 20/25</t>
  </si>
  <si>
    <t>Včetně vytvoření dilatačních spár, bez zaplnění.</t>
  </si>
  <si>
    <t xml:space="preserve">podkl.beton : </t>
  </si>
  <si>
    <t>(12,8*19,8+2,0*7,5+6,8*4,9)*0,12*1,1</t>
  </si>
  <si>
    <t>631311121R00</t>
  </si>
  <si>
    <t>Doplnění mazanin betonem do 1 m2, do tl. 8 cm</t>
  </si>
  <si>
    <t>stáv.objekt : 1*0,55</t>
  </si>
  <si>
    <t>631312141R00</t>
  </si>
  <si>
    <t>Doplnění rýh betonem v dosavadních mazaninách</t>
  </si>
  <si>
    <t>stáv.objekt : 1*0,65</t>
  </si>
  <si>
    <t>631319173R00</t>
  </si>
  <si>
    <t>Příplatek za stržení povrchu mazaniny tl. 12 cm</t>
  </si>
  <si>
    <t>631362021R00</t>
  </si>
  <si>
    <t>Výztuž mazanin svařovanou sítí z drátů Kari</t>
  </si>
  <si>
    <t>(12,8*19,8+2,0*7,5+6,8*4,9)*0,00365*1,3</t>
  </si>
  <si>
    <t>631571003R00</t>
  </si>
  <si>
    <t>Násyp ze štěrkopísku 0 - 32,  zpevňující</t>
  </si>
  <si>
    <t xml:space="preserve">pod podkl.beton : </t>
  </si>
  <si>
    <t>(12,8*19,8+2,0*7,5+6,8*4,9)*0,1*1,1</t>
  </si>
  <si>
    <t xml:space="preserve">okap.chodník : </t>
  </si>
  <si>
    <t>(6,6+6,9+14,1+20,1+15,0+2,0+1,5)*0,5*0,18</t>
  </si>
  <si>
    <t xml:space="preserve">chodník : </t>
  </si>
  <si>
    <t>5,0*2,25*0,18</t>
  </si>
  <si>
    <t>632415102RT2</t>
  </si>
  <si>
    <t>Potěr  samonivelační ručně tl. 2 mm -  vyrovnávací</t>
  </si>
  <si>
    <t>D 1 : 248,44</t>
  </si>
  <si>
    <t>632441491R00</t>
  </si>
  <si>
    <t>Broušení  potěrů a stěrek</t>
  </si>
  <si>
    <t>A 1 : 232,04*2</t>
  </si>
  <si>
    <t>A 3 : 9,79*2</t>
  </si>
  <si>
    <t>B 1 : 6,68*2</t>
  </si>
  <si>
    <t>C 1 : 9,09*2</t>
  </si>
  <si>
    <t>639561121R00</t>
  </si>
  <si>
    <t>Obrubník zahradní výšky 250 mm, šedý</t>
  </si>
  <si>
    <t>6,6+6,9+14,1+20,1+15,0+2,0+1,5+0,5*6</t>
  </si>
  <si>
    <t>5,0*2</t>
  </si>
  <si>
    <t>632413150RG1</t>
  </si>
  <si>
    <t>Potěr ze SMS  tl. 55 mm - litý cement.potěr CT - C25 - F5</t>
  </si>
  <si>
    <t>632413160RG1</t>
  </si>
  <si>
    <t>Potěr ze SMS , tl. 65 mm - litý cement.potěr CT - C25 - F5</t>
  </si>
  <si>
    <t>632413160RG2</t>
  </si>
  <si>
    <t>Potěr ze SMS , tl. 85 mm - litý cement.potěr CT - C25 - F5</t>
  </si>
  <si>
    <t>632921913RG1</t>
  </si>
  <si>
    <t>Dlažba z dlaždic betonových do písku, tl. 40 mm, vyplněné křemičitým pískem</t>
  </si>
  <si>
    <t>Včetně dodávky dlaždic.</t>
  </si>
  <si>
    <t>(6,6+6,9+14,1+20,1+15,0+2,0+1,5)*0,5</t>
  </si>
  <si>
    <t>5,0*2,25</t>
  </si>
  <si>
    <t>64</t>
  </si>
  <si>
    <t>Výplně otvorů</t>
  </si>
  <si>
    <t>641960000R00</t>
  </si>
  <si>
    <t>Těsnění spár otvorových prvků PU pěnou, včetně komprimační multifunkční pásky</t>
  </si>
  <si>
    <t>z vni strany parotěsná a z vně strany paropropustná a voděodolná.</t>
  </si>
  <si>
    <t xml:space="preserve">P/1-8 : </t>
  </si>
  <si>
    <t>(1,25+1,8)*2*14+1,25*4*4+1,9*2*13</t>
  </si>
  <si>
    <t>6,25*2+1,2*2+7,65+4,9+2,56*2</t>
  </si>
  <si>
    <t>642942111R00</t>
  </si>
  <si>
    <t>Osazení zárubní dveřních ocelových, pl. do 2,5 m2</t>
  </si>
  <si>
    <t>1+3+6</t>
  </si>
  <si>
    <t>642945111R00</t>
  </si>
  <si>
    <t>Osazení zárubní ocel. požár.1křídl., pl. do 2,5 m2</t>
  </si>
  <si>
    <t>1+1</t>
  </si>
  <si>
    <t>648951411RT2</t>
  </si>
  <si>
    <t>Osazení parapetních desek dřevěných š. do 25 cm, včetně dodávky parapetní desky š. 15 cm</t>
  </si>
  <si>
    <t>b1 : 0,76*2</t>
  </si>
  <si>
    <t>b2 : 2,35*2</t>
  </si>
  <si>
    <t>648951411RT3</t>
  </si>
  <si>
    <t>Osazení parapetních desek dřevěných š. do 25 cm, včetně dodávky parapetní desky š. 25 cm</t>
  </si>
  <si>
    <t>lamino DTD, dýha dub</t>
  </si>
  <si>
    <t>a1 : 1,25*31</t>
  </si>
  <si>
    <t>a2 : 0,76</t>
  </si>
  <si>
    <t>a3 : 6,23</t>
  </si>
  <si>
    <t>642942213RG1</t>
  </si>
  <si>
    <t>Osazení zárubně do sádrokarton. příčky tl. 150 mm, včetně zesílení UA profilem</t>
  </si>
  <si>
    <t>Včetně kotvení rámů do zdiva a platí pro jakýkoliv způsob provádění (např. bodovým přivařením k obnažené výztuži, uklínováním, zalitím pracen apod.).</t>
  </si>
  <si>
    <t>6+2+2+1</t>
  </si>
  <si>
    <t>553 30000</t>
  </si>
  <si>
    <t>OCEL.ZÁRUBEŇ S CELOOBVOD.TĚSNĚNÍM</t>
  </si>
  <si>
    <t xml:space="preserve">do zdiva tl. 150 mm: : </t>
  </si>
  <si>
    <t>70/197 : 1</t>
  </si>
  <si>
    <t>80/197 : 3</t>
  </si>
  <si>
    <t>90/197 : 6</t>
  </si>
  <si>
    <t>553 30001</t>
  </si>
  <si>
    <t xml:space="preserve">do SDK tl. 150 mm: : </t>
  </si>
  <si>
    <t>70/197 : 6</t>
  </si>
  <si>
    <t>80/197 : 2</t>
  </si>
  <si>
    <t>90/197 : 2</t>
  </si>
  <si>
    <t>110/197 : 1</t>
  </si>
  <si>
    <t>553 30002</t>
  </si>
  <si>
    <t>OCEL.ZÁRUBEŇ S CELOOBVOD.TĚSNĚNÍM, s pož.odolností EW 15</t>
  </si>
  <si>
    <t>typ S - HSE  z žárově pozink.plechu  s těsněním, drážkou a povrch.úpravou,platí pro všechny zárubně - viz popis v kcí.zámečnických.</t>
  </si>
  <si>
    <t>OCEL.ZÁRUBEŇ S CELOOBVOD.TĚSNĚNÍM, s pož.odolností EW 30</t>
  </si>
  <si>
    <t>90/197 : 1</t>
  </si>
  <si>
    <t>Název stavby:</t>
  </si>
  <si>
    <t>Doba výstavby:</t>
  </si>
  <si>
    <t>Objednatel:</t>
  </si>
  <si>
    <t>Druh stavby:</t>
  </si>
  <si>
    <t>SO01 Přístavba ZŠ - ZTI</t>
  </si>
  <si>
    <t>Začátek výstavby:</t>
  </si>
  <si>
    <t>Projektant:</t>
  </si>
  <si>
    <t>Lokalita:</t>
  </si>
  <si>
    <t>Katov - Dolní Loučky</t>
  </si>
  <si>
    <t>Konec výstavby:</t>
  </si>
  <si>
    <t>Zhotovitel:</t>
  </si>
  <si>
    <t>JKSO:</t>
  </si>
  <si>
    <t>Zpracováno dne:</t>
  </si>
  <si>
    <t>Zpracoval:</t>
  </si>
  <si>
    <t>Č</t>
  </si>
  <si>
    <t>Objekt</t>
  </si>
  <si>
    <t>Kód</t>
  </si>
  <si>
    <t>Zkrácený popis</t>
  </si>
  <si>
    <t>M.j.</t>
  </si>
  <si>
    <t>Množství</t>
  </si>
  <si>
    <t>Jednot.</t>
  </si>
  <si>
    <t>Náklady (Kč)</t>
  </si>
  <si>
    <t>Hmotnost (t)</t>
  </si>
  <si>
    <t>Cenová</t>
  </si>
  <si>
    <t xml:space="preserve"> </t>
  </si>
  <si>
    <t>Rozměry</t>
  </si>
  <si>
    <t>cena (Kč)</t>
  </si>
  <si>
    <t>Dodávka</t>
  </si>
  <si>
    <t>Montáž</t>
  </si>
  <si>
    <t>Celkem</t>
  </si>
  <si>
    <t>soustava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</si>
  <si>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</si>
  <si>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</si>
  <si>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</si>
  <si>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</si>
  <si>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</si>
  <si>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</si>
  <si>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</si>
  <si>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</si>
  <si>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</si>
  <si>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721</t>
  </si>
  <si>
    <t>Vnitřní kanalizace</t>
  </si>
  <si>
    <t>13</t>
  </si>
  <si>
    <t>721176102R00</t>
  </si>
  <si>
    <t>Potrubí HT připojovací D 40 x 1,8 mm, dodávka a montáž potrubí vč. tvarovek,spojek, těsnění a zednických prací</t>
  </si>
  <si>
    <t>RTS II / 2015</t>
  </si>
  <si>
    <t>721_</t>
  </si>
  <si>
    <t>72_</t>
  </si>
  <si>
    <t>_</t>
  </si>
  <si>
    <t>20*1   Výkr.schéma a řezy kanal.platí i pro další pol., vč. uchycení ke stav. konstrukci</t>
  </si>
  <si>
    <t>14</t>
  </si>
  <si>
    <t>721176103R00</t>
  </si>
  <si>
    <t>Potrubí HT připojovací DN 50 x 1,8 mm, dodávka a montáž potrubí vč. tvarovek,spojek, těsnění a zednických prací</t>
  </si>
  <si>
    <t xml:space="preserve">   vč.uchycení ke stav.konstrukci</t>
  </si>
  <si>
    <t>15</t>
  </si>
  <si>
    <t>721176104R00</t>
  </si>
  <si>
    <t>Potrubí HT připojovací D 75 x 1,9 mm,  dodávka a montáž potrubí vč. tvarovek,spojek, těsnění a zednických prací</t>
  </si>
  <si>
    <t xml:space="preserve">    vč. uchycení ke stav. konstrukci</t>
  </si>
  <si>
    <t>16</t>
  </si>
  <si>
    <t>721176105R00</t>
  </si>
  <si>
    <t>Potrubí HT připojovací DN 100 x 2,7 mm, dodávka a montáž potrubí vč. tvarovek,spojek, těsnění a zednických prací</t>
  </si>
  <si>
    <t>17</t>
  </si>
  <si>
    <t>721176222R00</t>
  </si>
  <si>
    <t>Potrubí KG svodné (ležaté) v zemi D 110 x 3,2 mm,  dodávka a montáž potrubí vč. tvarovek,spojek, těsnění</t>
  </si>
  <si>
    <t>18</t>
  </si>
  <si>
    <t>721176223R00</t>
  </si>
  <si>
    <t>Potrubí KG svodné (ležaté) v zemi D 125 x 3,2 mm, dodávka a montáž potrubí vč. tvarovek,spojek, těsnění</t>
  </si>
  <si>
    <t>19</t>
  </si>
  <si>
    <t>721176224R00</t>
  </si>
  <si>
    <t>Potrubí KG svodné (ležaté) v zemi D 160 x 4,0 mm, dodávka a montáž potrubí vč. tvarovek,spojek, těsnění</t>
  </si>
  <si>
    <t>20</t>
  </si>
  <si>
    <t>721194104R00</t>
  </si>
  <si>
    <t>Vyvedení odpadních výpustek D 40 x 1,8</t>
  </si>
  <si>
    <t>21</t>
  </si>
  <si>
    <t>721194105R00</t>
  </si>
  <si>
    <t>Vyvedení odpadních výpustek D 50 x 1,8</t>
  </si>
  <si>
    <t>22</t>
  </si>
  <si>
    <t>721194109R00</t>
  </si>
  <si>
    <t>Vyvedení odpadních výpustek D 110 x 2,3</t>
  </si>
  <si>
    <t>23</t>
  </si>
  <si>
    <t>721 00-0001VD</t>
  </si>
  <si>
    <t>Odpadní kalich s pojistkou proti vyschnutí,montáž+dodávka</t>
  </si>
  <si>
    <t>soub</t>
  </si>
  <si>
    <t>24</t>
  </si>
  <si>
    <t>721273200RT3</t>
  </si>
  <si>
    <t>Souprava ventilační střešní  hlavice PP   D75- 110 mm</t>
  </si>
  <si>
    <t>25</t>
  </si>
  <si>
    <t>721273150R00</t>
  </si>
  <si>
    <t>Hlavice ventilační přivětrávací  pro odpadní potrubí DN50-100</t>
  </si>
  <si>
    <t>26</t>
  </si>
  <si>
    <t>721 00 00196VD</t>
  </si>
  <si>
    <t>Podlahová vpusť plast, svislý odtok DN50-110, Pevná izol. příruba, odtok 0,8l/s, ZU fungující i bez vody, rám a mřížka nerez, d+m</t>
  </si>
  <si>
    <t>27</t>
  </si>
  <si>
    <t>721 01-0010VD</t>
  </si>
  <si>
    <t>Protipožární průchodka - těsnění protipožárním tmelem</t>
  </si>
  <si>
    <t>28</t>
  </si>
  <si>
    <t>72100-2599VD</t>
  </si>
  <si>
    <t>Dvířka plastová s rámem min 150x150, pro čistící kus, v barvě stěny nebo pro obklad d+m</t>
  </si>
  <si>
    <t>29</t>
  </si>
  <si>
    <t>Dvířka plastová s rámem 150x150, v barvě stěny, do podhledu d+m</t>
  </si>
  <si>
    <t>30</t>
  </si>
  <si>
    <t>721 01-0012VD</t>
  </si>
  <si>
    <t>Zapravení drážek,zednické výpomoci (dle vykázaných hodin)</t>
  </si>
  <si>
    <t>hod</t>
  </si>
  <si>
    <t>31</t>
  </si>
  <si>
    <t>721 00-0009VD</t>
  </si>
  <si>
    <t>HL660G Lapač střešních splavenin DN125 rám a čistící víko z litiny, koš na nečistoty, suchá nezámrzná klapka pachonepropustná</t>
  </si>
  <si>
    <t>32</t>
  </si>
  <si>
    <t>72100-2537VD</t>
  </si>
  <si>
    <t>Plastová kanalizační šachta D400, hl. do 2m, litinový poklop</t>
  </si>
  <si>
    <t>33</t>
  </si>
  <si>
    <t>721290112R00</t>
  </si>
  <si>
    <t>Zkouška těsnosti kanalizace vodou do DN 200</t>
  </si>
  <si>
    <t>10+30+75</t>
  </si>
  <si>
    <t>34</t>
  </si>
  <si>
    <t>721290123R00</t>
  </si>
  <si>
    <t>Zkouška těsnosti kanalizace kouřem DN 300</t>
  </si>
  <si>
    <t>20+15+4+30</t>
  </si>
  <si>
    <t>722</t>
  </si>
  <si>
    <t>Vnitřní vodovod</t>
  </si>
  <si>
    <t>35</t>
  </si>
  <si>
    <t>723 00-0012VD</t>
  </si>
  <si>
    <t>Potrubí PE100 SDR11 32x3mm vč.tvarovek a mont. - uloženo v zemi</t>
  </si>
  <si>
    <t>722_</t>
  </si>
  <si>
    <t>36</t>
  </si>
  <si>
    <t>722130233R00</t>
  </si>
  <si>
    <t>Potrubí z trub.závit.pozink.spojované svařovaním 11343, DN 25 vč.tvarovek, uložení, montáže, zednických prací, d+m</t>
  </si>
  <si>
    <t xml:space="preserve">   Výkr. půdorys 1NP, platí i pro další položky, vč.uchycení ke stav.konstrukci</t>
  </si>
  <si>
    <t>37</t>
  </si>
  <si>
    <t>722178213R00</t>
  </si>
  <si>
    <t>Potrubí vícevrstvé D20x2 mm,  lisovaný spoj vč tvarovek, uložení, zednických prací, d+m</t>
  </si>
  <si>
    <t>38</t>
  </si>
  <si>
    <t>722178214R00</t>
  </si>
  <si>
    <t>Potrubí vícevrstvé D26x3 mm,  lisovaný spoj vč tvarovek, uložení, zednických prací, d+m</t>
  </si>
  <si>
    <t>39</t>
  </si>
  <si>
    <t>722178215R00</t>
  </si>
  <si>
    <t>Potrubí vícevrstvé D32x3 mm,  lisovaný spoj vč tvarovek, uložení, zednických prací, d+m</t>
  </si>
  <si>
    <t>40</t>
  </si>
  <si>
    <t>722 18-0003VD</t>
  </si>
  <si>
    <t>Izolace potrubí z min.vlny vč.izolace tvarovek na 25/10mm, povrchová úprava AL,mont.+dod., lepící páska</t>
  </si>
  <si>
    <t xml:space="preserve">   Potrubí požární vody</t>
  </si>
  <si>
    <t>41</t>
  </si>
  <si>
    <t>722181214RT7</t>
  </si>
  <si>
    <t>Izolace návleková tl. stěny 20 mm, vnitř průměr 22mm, v položce je kalk. dodávka izol. trubice, spon a lepící pásky d+m</t>
  </si>
  <si>
    <t xml:space="preserve">   Potrubí vedené ve stěně</t>
  </si>
  <si>
    <t>42</t>
  </si>
  <si>
    <t>722181214RT8</t>
  </si>
  <si>
    <t>Izolace návleková tl. stěny 20 mm, vnitř.průmer 25mm v položce je kalk. dodávka izol. trubice, spon a lepící pásky d+m</t>
  </si>
  <si>
    <t>43</t>
  </si>
  <si>
    <t>722 18-0050VD</t>
  </si>
  <si>
    <t>Izolace potrubí z min.vlny včetně izolace tvarovek na d20 a d25/25mm,povrchová úpr.AL,montáž+dodávka,lepící páska</t>
  </si>
  <si>
    <t>44</t>
  </si>
  <si>
    <t>722 18-0051VD</t>
  </si>
  <si>
    <t>Izolace potrubí z min.vlny včetně izolace tvarovek na d32/30mm,povrchová úpr.AL,montáž+dodávka,lepící páska</t>
  </si>
  <si>
    <t>45</t>
  </si>
  <si>
    <t>722190401R00</t>
  </si>
  <si>
    <t>Vyvedení a upevnění výpustek DN 15</t>
  </si>
  <si>
    <t>46</t>
  </si>
  <si>
    <t>722-42239090VD</t>
  </si>
  <si>
    <t>Odvzdušňovací ventil G1/2"+uzavírací ventil 1/2"</t>
  </si>
  <si>
    <t>47</t>
  </si>
  <si>
    <t>722237322R00</t>
  </si>
  <si>
    <t>Kohout kulový,2xvnitřní závit, DN 15</t>
  </si>
  <si>
    <t>48</t>
  </si>
  <si>
    <t>722237423R00</t>
  </si>
  <si>
    <t>Kohout kulový, 2xvnitřní závit DN 20</t>
  </si>
  <si>
    <t>49</t>
  </si>
  <si>
    <t>722237123R00</t>
  </si>
  <si>
    <t>Kohout kulový,2xvnitřní závit DN 25</t>
  </si>
  <si>
    <t>50</t>
  </si>
  <si>
    <t>722237133R00</t>
  </si>
  <si>
    <t>Kohout kulový závitový s vypouštěním DN 25</t>
  </si>
  <si>
    <t>RTS II / 2016</t>
  </si>
  <si>
    <t>51</t>
  </si>
  <si>
    <t>722 00-9026VD</t>
  </si>
  <si>
    <t>Oddělovač systémů typ EA 1", kontrolovatelná zpětná armatura</t>
  </si>
  <si>
    <t>52</t>
  </si>
  <si>
    <t>722237621R00</t>
  </si>
  <si>
    <t>Ventil zpětný,2xvnitřní  DN 15</t>
  </si>
  <si>
    <t>53</t>
  </si>
  <si>
    <t>722237622R00</t>
  </si>
  <si>
    <t>Ventil zpětný,2xvnitřní závit DN 20</t>
  </si>
  <si>
    <t>54</t>
  </si>
  <si>
    <t>722237623R00</t>
  </si>
  <si>
    <t>Ventil zpětný,2xvnitřní závit R60 DN 25</t>
  </si>
  <si>
    <t>55</t>
  </si>
  <si>
    <t>722236512R00</t>
  </si>
  <si>
    <t>Filtr,velikost oka 0,4mm,vnitřní závity DN 20</t>
  </si>
  <si>
    <t>56</t>
  </si>
  <si>
    <t>722236513R00</t>
  </si>
  <si>
    <t>Filtr,velikost oka 0,4mm,vnitřní závity  DN 25</t>
  </si>
  <si>
    <t>57</t>
  </si>
  <si>
    <t>722231161R00</t>
  </si>
  <si>
    <t>Ventil pojistný pružinový P10-237-616, G 1/2</t>
  </si>
  <si>
    <t>58</t>
  </si>
  <si>
    <t>722223131R00</t>
  </si>
  <si>
    <t>Kohout kul.vypouštěcí,komplet, DN 15</t>
  </si>
  <si>
    <t>59</t>
  </si>
  <si>
    <t>722234233R00</t>
  </si>
  <si>
    <t>Úpravna vody magnetická MÚV, G 1</t>
  </si>
  <si>
    <t>60</t>
  </si>
  <si>
    <t>722 00-6126VD</t>
  </si>
  <si>
    <t>Termostatický směšovací ventil s pojistkou proti opatření,3/4"</t>
  </si>
  <si>
    <t>722239101R00</t>
  </si>
  <si>
    <t>Montáž vodovodních armatur 2závity, G 1/2</t>
  </si>
  <si>
    <t>62</t>
  </si>
  <si>
    <t>722239102R00</t>
  </si>
  <si>
    <t>Montáž vodovodních armatur 2závity, G 3/4</t>
  </si>
  <si>
    <t>722239103R00</t>
  </si>
  <si>
    <t>Montáž vodovodních armatur 2závity, G 1</t>
  </si>
  <si>
    <t>722170911R00</t>
  </si>
  <si>
    <t>Oprava potrubí z plast. trubek,vsazení odbočky D 32</t>
  </si>
  <si>
    <t>65</t>
  </si>
  <si>
    <t>722171914R00</t>
  </si>
  <si>
    <t>Odříznutí plastové trubky D 32 mm</t>
  </si>
  <si>
    <t>66</t>
  </si>
  <si>
    <t>723 00-9003VD</t>
  </si>
  <si>
    <t>Rám s dvířky400x400 v barvě stěny nebo obkladu</t>
  </si>
  <si>
    <t>67</t>
  </si>
  <si>
    <t>722254201RT3</t>
  </si>
  <si>
    <t>Hydrantový systém, box s plnými dveřmi, průměr 25/30, stálotvará hadice, dle ČSN 730873 EN 671 - 1.</t>
  </si>
  <si>
    <t>68</t>
  </si>
  <si>
    <t>722 29-0990VD</t>
  </si>
  <si>
    <t>Tlaková expanzní nádoba  8L+průtočná armatura Flowjet,dodávka+montáž</t>
  </si>
  <si>
    <t>69</t>
  </si>
  <si>
    <t>722 26-9002VD</t>
  </si>
  <si>
    <t>Teploměr 0-100°C</t>
  </si>
  <si>
    <t>70</t>
  </si>
  <si>
    <t>722 29-5083VD</t>
  </si>
  <si>
    <t>Cirkulační čerpadlo 20-30, 300l/h, 230V,dod+mont</t>
  </si>
  <si>
    <t>71</t>
  </si>
  <si>
    <t>722 00-30065VD</t>
  </si>
  <si>
    <t>Těsnění prostupů protipožárním tmelem, pož odolnost 30min, pož úseky dle PBŘ</t>
  </si>
  <si>
    <t>72</t>
  </si>
  <si>
    <t>722 00-0102VD</t>
  </si>
  <si>
    <t>Zapravení drážek, zednická výpomoc - (dle vykázaných hodin)</t>
  </si>
  <si>
    <t>73</t>
  </si>
  <si>
    <t>722290234R00</t>
  </si>
  <si>
    <t>Proplach a dezinfekce vodovod.potrubí DN 80</t>
  </si>
  <si>
    <t>15+15+70+60+20</t>
  </si>
  <si>
    <t>74</t>
  </si>
  <si>
    <t>722290226R00</t>
  </si>
  <si>
    <t>Zkouška tlaku vodovodního potrubí do DN 50</t>
  </si>
  <si>
    <t>725</t>
  </si>
  <si>
    <t>Zařizovací předměty</t>
  </si>
  <si>
    <t>75</t>
  </si>
  <si>
    <t>725014131R00</t>
  </si>
  <si>
    <t>Klozet závěsný pro předstěnovou instalaci, hluboké splach.6l, keramika bílá,+ sedátko plast, antibakt. úprava,kov chrom úchyty</t>
  </si>
  <si>
    <t>soubor</t>
  </si>
  <si>
    <t>725_</t>
  </si>
  <si>
    <t>76</t>
  </si>
  <si>
    <t>725 00-0037VD</t>
  </si>
  <si>
    <t>Tlačítko dvoumnožstevní,barva alpská bílá d+m</t>
  </si>
  <si>
    <t>77</t>
  </si>
  <si>
    <t>725014141R00</t>
  </si>
  <si>
    <t>Klozet závěsný pro ZTP + sedátko, bílý</t>
  </si>
  <si>
    <t>78</t>
  </si>
  <si>
    <t>725 99-0106VD</t>
  </si>
  <si>
    <t>Oddálené ruční pneumatické splachování do zdi, ovl.tlačítko chrom lesk</t>
  </si>
  <si>
    <t>79</t>
  </si>
  <si>
    <t>72501-0317VD</t>
  </si>
  <si>
    <t>Klozet závěsný pro předstěnovou instalaci - dětský, v=34cm, keramika bílá</t>
  </si>
  <si>
    <t>80</t>
  </si>
  <si>
    <t>Tlačítko dvoumnožstevní, barva dle architekta, kulatá tlačítka</t>
  </si>
  <si>
    <t>81</t>
  </si>
  <si>
    <t>72501-318VD</t>
  </si>
  <si>
    <t>Sedátko s poklopem pro dětský klozet, zaoblený tvar</t>
  </si>
  <si>
    <t>82</t>
  </si>
  <si>
    <t>725 11-0301VD</t>
  </si>
  <si>
    <t>Montážní prvek pro závěsné WC samonosný pro instalaci do lehké příčky, včetně nádržky,mont.sady a příslušenství, ovládací deska</t>
  </si>
  <si>
    <t>83</t>
  </si>
  <si>
    <t>725119306R00</t>
  </si>
  <si>
    <t>Montáž klozetu závěsného</t>
  </si>
  <si>
    <t>84</t>
  </si>
  <si>
    <t>725017132R00</t>
  </si>
  <si>
    <t>Umyvadlo na šrouby  55 x 42 cm, keramické bílé, masívní, oblý tvar</t>
  </si>
  <si>
    <t>85</t>
  </si>
  <si>
    <t>725017371R00</t>
  </si>
  <si>
    <t>Umývátko na šrouby 45 x 36 cm, bílé</t>
  </si>
  <si>
    <t>86</t>
  </si>
  <si>
    <t>72501-0319VD</t>
  </si>
  <si>
    <t>Umývátko keramické bílé 45x41cm, dětské (tvarované květina)</t>
  </si>
  <si>
    <t>Soub</t>
  </si>
  <si>
    <t>87</t>
  </si>
  <si>
    <t>725017153R00</t>
  </si>
  <si>
    <t>Umyvadlo invalidní  64 x 55 cm, bílé</t>
  </si>
  <si>
    <t>88</t>
  </si>
  <si>
    <t>725 11-0200VD</t>
  </si>
  <si>
    <t>Montážní prvek pro uchycení umyvadla, odpadu a baterie,samonosný do lehké příčky d+m</t>
  </si>
  <si>
    <t>89</t>
  </si>
  <si>
    <t>725219401R00</t>
  </si>
  <si>
    <t>Montáž umyvadel na šrouby</t>
  </si>
  <si>
    <t>90</t>
  </si>
  <si>
    <t>725823111RT1</t>
  </si>
  <si>
    <t>Baterie umyvadlová stoján. ruční, bez otvír.odpadu, keramická kartuš, standardní, 1x prodloužená ručka pro ZTP</t>
  </si>
  <si>
    <t>91</t>
  </si>
  <si>
    <t>725 00-0032VD</t>
  </si>
  <si>
    <t>rohový ventil 3/8"-1/2"se zakrytým šroubením chrom,rovný tvar d+m</t>
  </si>
  <si>
    <t>92</t>
  </si>
  <si>
    <t>725829301R00</t>
  </si>
  <si>
    <t>Montáž baterie umyvadlové stojánkové</t>
  </si>
  <si>
    <t>725 00-0033VD</t>
  </si>
  <si>
    <t>Umyvadlový sifon 5/4"chrom, rovný tvar válec</t>
  </si>
  <si>
    <t>94</t>
  </si>
  <si>
    <t>725 86-0399VD</t>
  </si>
  <si>
    <t>Zápachová uzávěrka umyvadlová pod omítku DN40 vč.připojovací soupravy chromované 5/4"</t>
  </si>
  <si>
    <t>95</t>
  </si>
  <si>
    <t>725 10-0009VD</t>
  </si>
  <si>
    <t>Sprchová vanička 90x90+podpěry+ZU-chom+posuvné sprchové dveře-montáž+dodávka</t>
  </si>
  <si>
    <t>96</t>
  </si>
  <si>
    <t>725 00-00093VD</t>
  </si>
  <si>
    <t>Sprchová baterie nástěnná chrom, keramická kartuš s ruční sprchou a vodící tyčí</t>
  </si>
  <si>
    <t>725849200R00</t>
  </si>
  <si>
    <t>Montáž baterií sprchových, nastavitelná výška</t>
  </si>
  <si>
    <t>98</t>
  </si>
  <si>
    <t>725 00-0020VD</t>
  </si>
  <si>
    <t>Rám pro montáž nástěnné baterie sprchové, umyvadlové, dřezové, do SDK příčky d+m</t>
  </si>
  <si>
    <t>99</t>
  </si>
  <si>
    <t>Rám pro montáž nástěnné baterie do SDK příčky d+m</t>
  </si>
  <si>
    <t>100</t>
  </si>
  <si>
    <t>725 00-4801VD</t>
  </si>
  <si>
    <t>Montáž ve skříňové sestavě - dřez+ umyvadlo dod.stavby, sifon pro dřez, d+m</t>
  </si>
  <si>
    <t>101</t>
  </si>
  <si>
    <t>725825111RT1</t>
  </si>
  <si>
    <t>Baterie umyvadlová a dřezová nástěnná ruční, standardní, keramická kartuš</t>
  </si>
  <si>
    <t>102</t>
  </si>
  <si>
    <t>725829202R00</t>
  </si>
  <si>
    <t>Montáž baterie umyv.a dřezové nástěnné</t>
  </si>
  <si>
    <t>103</t>
  </si>
  <si>
    <t>725 02-016VD</t>
  </si>
  <si>
    <t>Výkevka stojící diturvit.bílá s past.mříží, baterie nástěnná páková chrom. splach.nádržka vysoko položená +rv1/2"d+m</t>
  </si>
  <si>
    <t>104</t>
  </si>
  <si>
    <t>725119402R00</t>
  </si>
  <si>
    <t>Montáž předstěnových systémů do sádrokartonu</t>
  </si>
  <si>
    <t>Konstrukce doplňkové stavební (zámečnické)</t>
  </si>
  <si>
    <t>105</t>
  </si>
  <si>
    <t>767998105R00</t>
  </si>
  <si>
    <t>Systémové uložení potrubí a zařízení</t>
  </si>
  <si>
    <t>RTS II / 2012</t>
  </si>
  <si>
    <t>767_</t>
  </si>
  <si>
    <t>76_</t>
  </si>
  <si>
    <t>H721</t>
  </si>
  <si>
    <t>106</t>
  </si>
  <si>
    <t>998721101R00</t>
  </si>
  <si>
    <t>Přesun hmot pro vnitřní kanalizaci, výšky do 6 m</t>
  </si>
  <si>
    <t>5</t>
  </si>
  <si>
    <t>H721_</t>
  </si>
  <si>
    <t>9_</t>
  </si>
  <si>
    <t>H722</t>
  </si>
  <si>
    <t>107</t>
  </si>
  <si>
    <t>998722101R00</t>
  </si>
  <si>
    <t>Přesun hmot pro vnitřní vodovod, výšky do 6 m</t>
  </si>
  <si>
    <t>H722_</t>
  </si>
  <si>
    <t>H725</t>
  </si>
  <si>
    <t>108</t>
  </si>
  <si>
    <t>998725101R00</t>
  </si>
  <si>
    <t>Přesun hmot pro zařizovací předměty, výšky do 6 m</t>
  </si>
  <si>
    <t>H725_</t>
  </si>
  <si>
    <t>H767</t>
  </si>
  <si>
    <t>109</t>
  </si>
  <si>
    <t>998767101R00</t>
  </si>
  <si>
    <t>Přesun hmot pro zámečnické konstr., výšky do 6 m</t>
  </si>
  <si>
    <t>H767_</t>
  </si>
  <si>
    <t>Celkem:</t>
  </si>
  <si>
    <t>Poznámka:</t>
  </si>
  <si>
    <t>Přístavba základní školy, Katov</t>
  </si>
  <si>
    <t>Vnitřní rozvody plynu</t>
  </si>
  <si>
    <t>Hloubené vykopávky</t>
  </si>
  <si>
    <t>132201210R00</t>
  </si>
  <si>
    <t>Hloubení rýh š.do 200 cm hor.3 do 50 m3</t>
  </si>
  <si>
    <t>13_</t>
  </si>
  <si>
    <t>1_</t>
  </si>
  <si>
    <t>Přemístění výkopku</t>
  </si>
  <si>
    <t>2</t>
  </si>
  <si>
    <t>161101101R00</t>
  </si>
  <si>
    <t>Svislé přemístění výkopku z hor.1-4 do 2,5 m</t>
  </si>
  <si>
    <t>16_</t>
  </si>
  <si>
    <t>3</t>
  </si>
  <si>
    <t>167101101R00</t>
  </si>
  <si>
    <t>Nakládání výkopku z hor.1-4 v množství do 100 m3</t>
  </si>
  <si>
    <t>4</t>
  </si>
  <si>
    <t>162301102R00</t>
  </si>
  <si>
    <t>Vodorovné přemístění výkopku z hor.1-4 do 1000 m</t>
  </si>
  <si>
    <t>Konstrukce ze zemin</t>
  </si>
  <si>
    <t>174101101R00</t>
  </si>
  <si>
    <t>Zásyp jam, rýh, šachet se zhutněním</t>
  </si>
  <si>
    <t>17_</t>
  </si>
  <si>
    <t>6</t>
  </si>
  <si>
    <t>175 20-9911VD</t>
  </si>
  <si>
    <t>Poplatek za skládku - zemina</t>
  </si>
  <si>
    <t>7</t>
  </si>
  <si>
    <t>171201201R00</t>
  </si>
  <si>
    <t>Uložení sypaniny na skládku.-modelace na výšku přes 2m</t>
  </si>
  <si>
    <t>Podkladní a vedlejší konstrukce (kromě vozovek a železničního svršku)</t>
  </si>
  <si>
    <t>8</t>
  </si>
  <si>
    <t>451572111RK1</t>
  </si>
  <si>
    <t>Lože pod potrubí a obsyp z kameniva těženého 0 - 4 mm s dodáním materiálu, kraj Jihomoravský</t>
  </si>
  <si>
    <t>45_</t>
  </si>
  <si>
    <t>4_</t>
  </si>
  <si>
    <t>723</t>
  </si>
  <si>
    <t>Vnitřní plynovod</t>
  </si>
  <si>
    <t>9</t>
  </si>
  <si>
    <t>723 23-0100VD</t>
  </si>
  <si>
    <t>Trubka ocelová 6/4", opláštěná PE povlakem, montáž+dodávka potrubí včetně tvarovek, uložení ve výkopu</t>
  </si>
  <si>
    <t>723_</t>
  </si>
  <si>
    <t>10</t>
  </si>
  <si>
    <t>286 00-01VD</t>
  </si>
  <si>
    <t>Zakrytí plynu výstražnou fólií+Cu vodič</t>
  </si>
  <si>
    <t>11</t>
  </si>
  <si>
    <t>723 23-0200VD</t>
  </si>
  <si>
    <t>Trubky ochranné ocelová izolovaná DN 80,montáž+dodávka potrubí včetně tvarovek, těsněno PUR pěnou (0,5+0,5)</t>
  </si>
  <si>
    <t>12</t>
  </si>
  <si>
    <t>723120203R00</t>
  </si>
  <si>
    <t>Potrubí ocelové závitové černé svařované DN 20</t>
  </si>
  <si>
    <t>723120206R00</t>
  </si>
  <si>
    <t>Potrubí ocelové závitové černé svařované DN 40 vč. tvarovek, uložení, montáže a zed. prací</t>
  </si>
  <si>
    <t>723150369R00</t>
  </si>
  <si>
    <t>Potrubí ocel. černé svařované - chráničky D 89/3,6, těsněno PUR pěnou</t>
  </si>
  <si>
    <t>723237217R00</t>
  </si>
  <si>
    <t>Kohout kulový, 2xvnitřní závit, plynový DN 40</t>
  </si>
  <si>
    <t>723237214R00</t>
  </si>
  <si>
    <t>Kohout kulový,2xvnitřní závit, plynový DN 20</t>
  </si>
  <si>
    <t>723237213R00</t>
  </si>
  <si>
    <t>Kohout kulový,2xvnitřní závit, plynový DN 15</t>
  </si>
  <si>
    <t>Kohout kulový,2xvnitřní závit, plynový K858 DN 15,  vzorkovací, na hadici</t>
  </si>
  <si>
    <t>723 00-2002VD</t>
  </si>
  <si>
    <t>Detektor úniku plynu včetně příslušenství,s možností ovládání membránového havarijního ventilu,2stupně,snímač+zapojení a odzkoušení</t>
  </si>
  <si>
    <t>723 00-3602VD</t>
  </si>
  <si>
    <t>Membránový bezpečnostní uzávěr s řídícím elektromag ventilem BAP solo DN40 závit.bez napětí uzavřen, průtok 50m3/h d+m</t>
  </si>
  <si>
    <t>723 00-5100VD</t>
  </si>
  <si>
    <t>Plynový filtr 6/4", nerez mřížka, filtrační textilie 5mikronů, montáž+dodávka</t>
  </si>
  <si>
    <t>723 00-9004VD</t>
  </si>
  <si>
    <t>Skříň s uzamykatelnými dvířky (např. Maxipol ) 1000x750</t>
  </si>
  <si>
    <t>723239101R00</t>
  </si>
  <si>
    <t>Montáž plynovodních armatur, 2 závity, G 1/2</t>
  </si>
  <si>
    <t>723239102R00</t>
  </si>
  <si>
    <t>Montáž plynovodních armatur, 2 závity, G 3/4</t>
  </si>
  <si>
    <t>723239105R00</t>
  </si>
  <si>
    <t>Montáž plynovodních armatur, 2 závity, G 6/4</t>
  </si>
  <si>
    <t>723190907R00</t>
  </si>
  <si>
    <t>Odvzdušnění a napuštění plynového potrubí</t>
  </si>
  <si>
    <t>723190901R00</t>
  </si>
  <si>
    <t>Uzavření nebo otevření plynového potrubí</t>
  </si>
  <si>
    <t>723190909R00</t>
  </si>
  <si>
    <t>Zkouška tlaková  plynového potrubí</t>
  </si>
  <si>
    <t>723120805R00</t>
  </si>
  <si>
    <t>Demontáž potrubí svařovaného závitového DN 25-50</t>
  </si>
  <si>
    <t>723290821R00</t>
  </si>
  <si>
    <t>Přesun vybouraných hmot - plynovody, H do 6 m</t>
  </si>
  <si>
    <t>Systémové uložení potrubí hmotnosti do 5 kg</t>
  </si>
  <si>
    <t>783424340R00</t>
  </si>
  <si>
    <t>Nátěr syntet. potrubí do DN 100 mm  Z+2x +1x email</t>
  </si>
  <si>
    <t>783_</t>
  </si>
  <si>
    <t>78_</t>
  </si>
  <si>
    <t>783421310R00</t>
  </si>
  <si>
    <t>Nátěr syntetický armatur do DN 100 mm 2x +1x email</t>
  </si>
  <si>
    <t>H723</t>
  </si>
  <si>
    <t>998723101R00</t>
  </si>
  <si>
    <t>Přesun hmot pro vnitřní plynovod, výšky do 6 m</t>
  </si>
  <si>
    <t>H723_</t>
  </si>
  <si>
    <t>Objekt:   PŘÍSTAVBA ZÁKLADNÍ ŠKOLY, KATOV - ÚT</t>
  </si>
  <si>
    <t xml:space="preserve">Objednatel:   </t>
  </si>
  <si>
    <t xml:space="preserve">Zhotovitel:   </t>
  </si>
  <si>
    <t xml:space="preserve">Zpracoval:   </t>
  </si>
  <si>
    <t xml:space="preserve">Místo:   </t>
  </si>
  <si>
    <t>Datum:   2.12.2016</t>
  </si>
  <si>
    <t>Č.</t>
  </si>
  <si>
    <t>Kód položky</t>
  </si>
  <si>
    <t>Popis</t>
  </si>
  <si>
    <t>Množství celkem</t>
  </si>
  <si>
    <t>Cena jednotková</t>
  </si>
  <si>
    <t>Cena celkem</t>
  </si>
  <si>
    <t>Hmotnost celkem</t>
  </si>
  <si>
    <t>PSV</t>
  </si>
  <si>
    <t xml:space="preserve">Práce a dodávky PSV   </t>
  </si>
  <si>
    <t xml:space="preserve">Izolace tepelné ÚT   </t>
  </si>
  <si>
    <t>713463121</t>
  </si>
  <si>
    <t xml:space="preserve">Montáž izolace tepelné potrubí potrubními pouzdry bez úpravy uchycenými sponami 1x   </t>
  </si>
  <si>
    <t>71301</t>
  </si>
  <si>
    <t xml:space="preserve">Izolace návleková tl. 15mm/ 15   </t>
  </si>
  <si>
    <t>71302</t>
  </si>
  <si>
    <t xml:space="preserve">Izolace návleková tl.15mm/18   </t>
  </si>
  <si>
    <t>71350</t>
  </si>
  <si>
    <t xml:space="preserve">Izolace návleková tl.20mm/22   </t>
  </si>
  <si>
    <t>71354</t>
  </si>
  <si>
    <t xml:space="preserve">Izolace návleková tl. 20mm/ 28   </t>
  </si>
  <si>
    <t>998713201</t>
  </si>
  <si>
    <t xml:space="preserve">Přesun hmot pro izolace tepelné v objektech v do 6 m   </t>
  </si>
  <si>
    <t>%</t>
  </si>
  <si>
    <t>731</t>
  </si>
  <si>
    <t xml:space="preserve">Ústřední vytápění - kotelny   </t>
  </si>
  <si>
    <t>0010</t>
  </si>
  <si>
    <t xml:space="preserve">Topná zkouška   </t>
  </si>
  <si>
    <t>kpl</t>
  </si>
  <si>
    <t>73110021</t>
  </si>
  <si>
    <t xml:space="preserve">Čidlo venkovní teploty   </t>
  </si>
  <si>
    <t>73110024</t>
  </si>
  <si>
    <t xml:space="preserve">Čidlo teploty TV   </t>
  </si>
  <si>
    <t>73110025</t>
  </si>
  <si>
    <t xml:space="preserve">Teplotní sonda   </t>
  </si>
  <si>
    <t>73110026</t>
  </si>
  <si>
    <t xml:space="preserve">Rozšiřující modul pro 3 směšované větve a TV včetně teplotních sond   </t>
  </si>
  <si>
    <t>73110027</t>
  </si>
  <si>
    <t xml:space="preserve">Prostorová obslužná jednotka   </t>
  </si>
  <si>
    <t>73124101</t>
  </si>
  <si>
    <t xml:space="preserve">Uvedení plyn.kotle do provozu   </t>
  </si>
  <si>
    <t>731242142</t>
  </si>
  <si>
    <t xml:space="preserve">Montáž kondenzačního kotle ocelového nástěnného  do 50 kW   </t>
  </si>
  <si>
    <t>7310001</t>
  </si>
  <si>
    <t xml:space="preserve">ZÁVĚSNÝ PLYNOVÝ KOND. KOTEL, VÝKON 5,0-45,0 kW   </t>
  </si>
  <si>
    <t>731100156</t>
  </si>
  <si>
    <t xml:space="preserve">NEPŘÍMOTOPNÝ OHŘÍVAČ TV, OBJEM 125l   </t>
  </si>
  <si>
    <t>73110015788</t>
  </si>
  <si>
    <t xml:space="preserve">Trubka DN80 dl. 1,0m   </t>
  </si>
  <si>
    <t>73110015789</t>
  </si>
  <si>
    <t xml:space="preserve">KOAXIÁLNÍ OBLOUK DN80/125, 90°,   </t>
  </si>
  <si>
    <t>731100157891</t>
  </si>
  <si>
    <t xml:space="preserve">Patní koleno DN 80, 90°,   </t>
  </si>
  <si>
    <t>73110015791</t>
  </si>
  <si>
    <t xml:space="preserve">Koaxiální trubky DN 80/125mm dl. 0,5m   </t>
  </si>
  <si>
    <t>73110015795</t>
  </si>
  <si>
    <t xml:space="preserve">REVIZNÍ T-KUS   </t>
  </si>
  <si>
    <t>73110015796</t>
  </si>
  <si>
    <t xml:space="preserve">Vertikální komínová koncovka   </t>
  </si>
  <si>
    <t>73110015797</t>
  </si>
  <si>
    <t xml:space="preserve">HYDRAULICKÝ VYROVNÁVAČ DYNAMICKÝCH TLAKŮ, TYP HVDT (2,5m3/hod) +izolace   </t>
  </si>
  <si>
    <t>7311001579712</t>
  </si>
  <si>
    <t xml:space="preserve">ROZDĚLOVAČ A SBĚRAČ, 4 VĚTVE, dl. 1000mm + IZOLACE + NOŽKY   </t>
  </si>
  <si>
    <t>7311001579713</t>
  </si>
  <si>
    <t xml:space="preserve">Napuštění soustavy upravenou vodou   </t>
  </si>
  <si>
    <t>731320856</t>
  </si>
  <si>
    <t xml:space="preserve">Montáž zásobníkového ohřívače TV   </t>
  </si>
  <si>
    <t>731320857</t>
  </si>
  <si>
    <t xml:space="preserve">Montáž odkouření   </t>
  </si>
  <si>
    <t>731320858</t>
  </si>
  <si>
    <t xml:space="preserve">Montáž HVDT   </t>
  </si>
  <si>
    <t>731320859</t>
  </si>
  <si>
    <t xml:space="preserve">Montáž RS   </t>
  </si>
  <si>
    <t>731320860</t>
  </si>
  <si>
    <t xml:space="preserve">Montáž MaR + kabeláž   </t>
  </si>
  <si>
    <t>731320861</t>
  </si>
  <si>
    <t xml:space="preserve">Řídící systém pro poruchové a havarijní stavy vis TZ   </t>
  </si>
  <si>
    <t>998731201</t>
  </si>
  <si>
    <t xml:space="preserve">Přesun hmot pro kotelny v objektech v do 6 m   </t>
  </si>
  <si>
    <t>732</t>
  </si>
  <si>
    <t xml:space="preserve">Ústřední vytápění - strojovny   </t>
  </si>
  <si>
    <t>732421470</t>
  </si>
  <si>
    <t xml:space="preserve">Čerpadlo elektronické elektronické DN25-60, 230V   </t>
  </si>
  <si>
    <t>732421471</t>
  </si>
  <si>
    <t xml:space="preserve">Čerpadlo elektronické elektronické L DN25-40, 230V   </t>
  </si>
  <si>
    <t>998732201</t>
  </si>
  <si>
    <t xml:space="preserve">Přesun hmot pro strojovny v objektech v do 6 m   </t>
  </si>
  <si>
    <t>733</t>
  </si>
  <si>
    <t xml:space="preserve">Ústřední vytápění - potrubí   </t>
  </si>
  <si>
    <t>733223102</t>
  </si>
  <si>
    <t xml:space="preserve">Potrubí měděné tvrdé spojované měkkým pájením D 15x1   </t>
  </si>
  <si>
    <t>733223103</t>
  </si>
  <si>
    <t xml:space="preserve">Potrubí měděné tvrdé spojované měkkým pájením D 18x1   </t>
  </si>
  <si>
    <t>733223104</t>
  </si>
  <si>
    <t xml:space="preserve">Potrubí měděné tvrdé spojované měkkým pájením D 22x1   </t>
  </si>
  <si>
    <t>733223105</t>
  </si>
  <si>
    <t xml:space="preserve">Potrubí měděné tvrdé spojované měkkým pájením D 28x1,5   </t>
  </si>
  <si>
    <t>733291102</t>
  </si>
  <si>
    <t xml:space="preserve">Zkouška těsnosti potrubí měděné do D 64x2   </t>
  </si>
  <si>
    <t>998733201</t>
  </si>
  <si>
    <t xml:space="preserve">Přesun hmot pro rozvody potrubí v objektech v do 6 m   </t>
  </si>
  <si>
    <t>734</t>
  </si>
  <si>
    <t xml:space="preserve">Ústřední vytápění - armatury   </t>
  </si>
  <si>
    <t>7340001</t>
  </si>
  <si>
    <t xml:space="preserve">Montáž termostat. hlavice   </t>
  </si>
  <si>
    <t>73455</t>
  </si>
  <si>
    <t xml:space="preserve">Radiátorová term. hlavice s ochranou proti odcizení a poškození   </t>
  </si>
  <si>
    <t>734690</t>
  </si>
  <si>
    <t xml:space="preserve">Šroubení rad. rohové př. G 1/2   </t>
  </si>
  <si>
    <t>73409</t>
  </si>
  <si>
    <t xml:space="preserve">Šroubení svěrné + opěrné pouzdro - d 15   </t>
  </si>
  <si>
    <t>7340002</t>
  </si>
  <si>
    <t xml:space="preserve">Montáž EN   </t>
  </si>
  <si>
    <t>73404563</t>
  </si>
  <si>
    <t xml:space="preserve">Expanzní nádoba 35/6-35l + SERVISNÍ ARMATURA MK DN20   </t>
  </si>
  <si>
    <t>734211113</t>
  </si>
  <si>
    <t xml:space="preserve">Ventil závitový odvzdušňovací G 3/8 PN 10 do 120°C   </t>
  </si>
  <si>
    <t>734220101</t>
  </si>
  <si>
    <t xml:space="preserve">Ventil závitový regulační přímý G 1/2; 3/4 PN 20 do 100°C vyvažovací   </t>
  </si>
  <si>
    <t>734242413</t>
  </si>
  <si>
    <t xml:space="preserve">Ventil závitový zpětný přímý G 3/4 PN 16 do 110°C   </t>
  </si>
  <si>
    <t>734242414</t>
  </si>
  <si>
    <t xml:space="preserve">Ventil závitový zpětný přímý G 1 PN 16 do 110°C   </t>
  </si>
  <si>
    <t>734251213</t>
  </si>
  <si>
    <t xml:space="preserve">Ventil závitový pojistný rohový G 3/4 provozní tlak od 3 barů   </t>
  </si>
  <si>
    <t>734291113</t>
  </si>
  <si>
    <t xml:space="preserve">Kohout závitový plnící a vypouštěcí ČSN 137061 PN 10/100°C G 1/2   </t>
  </si>
  <si>
    <t>734291243</t>
  </si>
  <si>
    <t xml:space="preserve">Filtr závitový přímý G 3/4 PN 16 do 130°C s vnitřními závity   </t>
  </si>
  <si>
    <t>734291244</t>
  </si>
  <si>
    <t xml:space="preserve">Filtr závitový přímý G 1 PN 16 do 130°C s vnitřními závity   </t>
  </si>
  <si>
    <t>734292712</t>
  </si>
  <si>
    <t xml:space="preserve">Kohout kulový přímý G 3/8 PN 42 do 185°C vnitřní závit   </t>
  </si>
  <si>
    <t>734292714</t>
  </si>
  <si>
    <t xml:space="preserve">Kohout kulový přímý G 3/4 PN 42 do 185°C vnitřní závit   </t>
  </si>
  <si>
    <t>734292715</t>
  </si>
  <si>
    <t xml:space="preserve">Kohout kulový přímý G 1 PN 42 do 185°C vnitřní závit   </t>
  </si>
  <si>
    <t>734295112</t>
  </si>
  <si>
    <t xml:space="preserve">TROJCESTNÝ SMEŠOVACÍ VENTIL DN20-4+pohon   </t>
  </si>
  <si>
    <t>7342951121</t>
  </si>
  <si>
    <t xml:space="preserve">TROJCESTNÝ SMEŠOVACÍ VENTIL DN15-2,5+pohon   </t>
  </si>
  <si>
    <t>734411103</t>
  </si>
  <si>
    <t xml:space="preserve">Teploměr technický s pevným stonkem a jímkou zadní připojení průměr 63 mm délky 100 mm   </t>
  </si>
  <si>
    <t>734421130</t>
  </si>
  <si>
    <t xml:space="preserve">Tlakoměr deformační č 03313 D 160 kruhový B s bronzovou trubicí rozsah 0-10 MPa   </t>
  </si>
  <si>
    <t>998734201</t>
  </si>
  <si>
    <t xml:space="preserve">Přesun hmot pro armatury v objektech v do 6 m   </t>
  </si>
  <si>
    <t>735</t>
  </si>
  <si>
    <t xml:space="preserve">Ústřední vytápění - otopná tělesa   </t>
  </si>
  <si>
    <t>735000912</t>
  </si>
  <si>
    <t xml:space="preserve">Vyregulování ventilu nebo kohoutu dvojregulačního s termostatickým ovládáním   </t>
  </si>
  <si>
    <t>735131318</t>
  </si>
  <si>
    <t xml:space="preserve">Montáž otopných těles článkových hliníkových o počtu článků  do 12   </t>
  </si>
  <si>
    <t>73515902</t>
  </si>
  <si>
    <t xml:space="preserve">Tlaková zkouška otopných těles   </t>
  </si>
  <si>
    <t>73509</t>
  </si>
  <si>
    <t>73510</t>
  </si>
  <si>
    <t>73505</t>
  </si>
  <si>
    <t>73506</t>
  </si>
  <si>
    <t>73507</t>
  </si>
  <si>
    <t>73508</t>
  </si>
  <si>
    <t>735010</t>
  </si>
  <si>
    <t>735011</t>
  </si>
  <si>
    <t xml:space="preserve">Montážní balíček k OT   </t>
  </si>
  <si>
    <t>735012</t>
  </si>
  <si>
    <t xml:space="preserve">OCHRANA RADIÁTORŮ PROTI ÚRAZU DĚTÍ A POŠKOZENÍ OTOPNÉ SOUSTAVY   </t>
  </si>
  <si>
    <t>OST</t>
  </si>
  <si>
    <t xml:space="preserve">Ostatní   </t>
  </si>
  <si>
    <t>O01</t>
  </si>
  <si>
    <t>0011</t>
  </si>
  <si>
    <t xml:space="preserve">Stavební výpomoc, vysekání drážek a prostupů   </t>
  </si>
  <si>
    <t>0012</t>
  </si>
  <si>
    <t xml:space="preserve">Nepředvídané práce   </t>
  </si>
  <si>
    <t>0013</t>
  </si>
  <si>
    <t xml:space="preserve">Konstrukce pro uchycení rozvodů   </t>
  </si>
  <si>
    <t>0014</t>
  </si>
  <si>
    <t xml:space="preserve">Revize kotlů, kouřovodů a tlakových nádob   </t>
  </si>
  <si>
    <t>0015</t>
  </si>
  <si>
    <t xml:space="preserve">Demontáže stávající otopné soustavy + ekologická likvidace   </t>
  </si>
  <si>
    <t>0016</t>
  </si>
  <si>
    <t xml:space="preserve">Proplach stávající otopnéí soustavy + postupné čištění filtrů   </t>
  </si>
  <si>
    <t xml:space="preserve">Celkem   </t>
  </si>
  <si>
    <t>Pozice</t>
  </si>
  <si>
    <t>Položka</t>
  </si>
  <si>
    <t>Popis položky</t>
  </si>
  <si>
    <t>Mj</t>
  </si>
  <si>
    <t>Počet</t>
  </si>
  <si>
    <t>Materiál</t>
  </si>
  <si>
    <t>Materiál celkem</t>
  </si>
  <si>
    <t>Montáž celkem</t>
  </si>
  <si>
    <t>Cena</t>
  </si>
  <si>
    <t>DM</t>
  </si>
  <si>
    <t>Hmotnost</t>
  </si>
  <si>
    <t>Poznámka 1</t>
  </si>
  <si>
    <t>Poznámka 2</t>
  </si>
  <si>
    <t>Poznámka 3</t>
  </si>
  <si>
    <t>Format</t>
  </si>
  <si>
    <t>Dodávky</t>
  </si>
  <si>
    <t/>
  </si>
  <si>
    <t>000000|bfebff|T|2</t>
  </si>
  <si>
    <t>Rozvaděč RE, v.č.D1.4.4-104</t>
  </si>
  <si>
    <t>ks</t>
  </si>
  <si>
    <t>Rozvaděč RP1, v.č.D1.4.4-105</t>
  </si>
  <si>
    <t>Dodávky - celkem</t>
  </si>
  <si>
    <t>C-21M</t>
  </si>
  <si>
    <t>Elektromontáže</t>
  </si>
  <si>
    <t>SKŘÍNĚ PŘÍPOJKOVÉ</t>
  </si>
  <si>
    <t>210 19-1501.R00</t>
  </si>
  <si>
    <t>Skříň SP100/NVP1P</t>
  </si>
  <si>
    <t>1,00</t>
  </si>
  <si>
    <t>POJISTKY</t>
  </si>
  <si>
    <t>210 12-0102.R00</t>
  </si>
  <si>
    <t>Pojistka nožová, PHN 00-63A</t>
  </si>
  <si>
    <t>KABEL SILOVÝ, standardní</t>
  </si>
  <si>
    <t>210 81-0013.R00</t>
  </si>
  <si>
    <t>CYKY-J 4x10 mm2, volně</t>
  </si>
  <si>
    <t>TRUBKA ELEKTROINSTALAČNÍ, OHEBNÁ,PVC</t>
  </si>
  <si>
    <t>210 01-0005.R00</t>
  </si>
  <si>
    <t>Trubka ohebná MONOFLEX 1432</t>
  </si>
  <si>
    <t>20,00</t>
  </si>
  <si>
    <t>STŘEŠNÍK A PŘÍSLUŠENSTVÍ</t>
  </si>
  <si>
    <t>210 04-0101.R00</t>
  </si>
  <si>
    <t>Trubka střešníková 76x3000</t>
  </si>
  <si>
    <t>210 04-0111.R00</t>
  </si>
  <si>
    <t>Držák střešníku 600-9000</t>
  </si>
  <si>
    <t>210 04-0141.R00</t>
  </si>
  <si>
    <t>Průchod střešníku střechou vč. oplechování</t>
  </si>
  <si>
    <t>210 04-0171.R00</t>
  </si>
  <si>
    <t>Vývodka střešníková vč. pancéřového kolena</t>
  </si>
  <si>
    <t>Vzpěra střešníková</t>
  </si>
  <si>
    <t>210 04-0174.R00</t>
  </si>
  <si>
    <t>Kotva střešníková</t>
  </si>
  <si>
    <t>Objímka kotevní</t>
  </si>
  <si>
    <t>210 04-0162.R00</t>
  </si>
  <si>
    <t>Hlavice střešníková</t>
  </si>
  <si>
    <t>210 04-0175.R00</t>
  </si>
  <si>
    <t>Nulování střešníku</t>
  </si>
  <si>
    <t>UKONČENÍ KABELŮ V ROZVODNICI RE</t>
  </si>
  <si>
    <t>210 10-0251.R00</t>
  </si>
  <si>
    <t xml:space="preserve"> Ukončení celopl. kabelů zákl./pas do 4x10</t>
  </si>
  <si>
    <t>KABELOVÁ KONCOVKA</t>
  </si>
  <si>
    <t>210 10-0701.R00</t>
  </si>
  <si>
    <t>Kabelová koncovka KSCZ4x10-25</t>
  </si>
  <si>
    <t>KRABICE INSTALAČNÍ</t>
  </si>
  <si>
    <t>210 01-0301.R00</t>
  </si>
  <si>
    <t>KRABICE PŘÍSTROJOVÁ  D68 do zdi bez zapojení</t>
  </si>
  <si>
    <t>KRABICE PŘÍSTROJOVÁ D68 do SDK bez zapojení</t>
  </si>
  <si>
    <t>210 01-0311.R00</t>
  </si>
  <si>
    <t>KRABICE ODBOČNÁ D68 do zdi se svorkovnicí</t>
  </si>
  <si>
    <t>KRABICE ODBOČNÁ D68 do SDK se svorkovnicí</t>
  </si>
  <si>
    <t>210 01-0322.R00</t>
  </si>
  <si>
    <t>KRABICE ROZVODNÁ KR97 se svorkovnicí</t>
  </si>
  <si>
    <t>210 01-0313.R00</t>
  </si>
  <si>
    <t>KRABICE ODBOČNÁ KO125E (HOP)</t>
  </si>
  <si>
    <t>SVORKOVNICE EKVIPOTENCIÁLNÍ EPS2, do KO125E</t>
  </si>
  <si>
    <t>SPÍNAČE POD OMÍTKU (shodného typu jako zásuvky)</t>
  </si>
  <si>
    <t>210 11-0041.R00</t>
  </si>
  <si>
    <t>Přístroj spínače, řazení 1</t>
  </si>
  <si>
    <t>210 11-0043.R00</t>
  </si>
  <si>
    <t>Přístroj spínače, řazení 5</t>
  </si>
  <si>
    <t>210 11-0045.R00</t>
  </si>
  <si>
    <t>Přístroj spínače, řazení 6</t>
  </si>
  <si>
    <t>210 11-0046.R00</t>
  </si>
  <si>
    <t>Přístroj spínače, řazení 7</t>
  </si>
  <si>
    <t>210 11-0051.R00</t>
  </si>
  <si>
    <t>Přístroj spínače, řazení 1/So, se svorkou N</t>
  </si>
  <si>
    <t>Doutnavka signalizační</t>
  </si>
  <si>
    <t>Doběhový člen do instalační krabice pod vypínač(DT3)</t>
  </si>
  <si>
    <t>KRYT SPÍNAČE</t>
  </si>
  <si>
    <t xml:space="preserve"> Jednoduchý</t>
  </si>
  <si>
    <t>Dělený s přídržnou deskou</t>
  </si>
  <si>
    <t>Jednoduchý s průzorem</t>
  </si>
  <si>
    <t>SVÍTIDLA A ZDROJE</t>
  </si>
  <si>
    <t>(DLE Přílohy 1, Legenda svítidel)</t>
  </si>
  <si>
    <t>Svítidlo zářivkové 2x58W,     ozn. A</t>
  </si>
  <si>
    <t>Svítidlo zářivkové 2x36W,     ozn. B</t>
  </si>
  <si>
    <t>Svítidlo zářivkové 2x36W,     ozn. C</t>
  </si>
  <si>
    <t>Svítidlo zářivkové 2x36W,     ozn. D</t>
  </si>
  <si>
    <t>Svítidlo LED 27W,     ozn. E</t>
  </si>
  <si>
    <t>Svítidlo zářivkové 2x26W,     ozn. F</t>
  </si>
  <si>
    <t>Svítidlo 1x13W, vč.zdroje,    ozn. K1</t>
  </si>
  <si>
    <t>Svítidlo 1x18W, vč.zdroje,    ozn. K2</t>
  </si>
  <si>
    <t>Svítidlo 1x26W,     ozn. J1</t>
  </si>
  <si>
    <t>Svítidlo 2x26W,     ozn. J2</t>
  </si>
  <si>
    <t>Svítidlo nouzové, vč.zdroje    ozn. N</t>
  </si>
  <si>
    <t>Zářivka L58/840</t>
  </si>
  <si>
    <t>Zářivka L36/840</t>
  </si>
  <si>
    <t>Zářivka DD26/840</t>
  </si>
  <si>
    <t>Recyklační poplatek za svítidlo</t>
  </si>
  <si>
    <t>Recyklační poplatek za zdroj</t>
  </si>
  <si>
    <t>211 01-0002.R00</t>
  </si>
  <si>
    <t>HM 8 HMOŽDINKA 8</t>
  </si>
  <si>
    <t>UKONČENÍ VODIČŮ A KABELŮ V ROZVADĚČÍCH</t>
  </si>
  <si>
    <t xml:space="preserve"> Ukončení kabelů do 4x10  mm2</t>
  </si>
  <si>
    <t xml:space="preserve">PODPARAPETNÍ ŽLAB </t>
  </si>
  <si>
    <t>Podparapetní kanál GEK 70170, spodní díl</t>
  </si>
  <si>
    <t>Kryt š. 80, bílý, GEK/DG8</t>
  </si>
  <si>
    <t>Koncovka GEK/E/70170</t>
  </si>
  <si>
    <t>Přepážka pro PVC kanál, 2371/60</t>
  </si>
  <si>
    <t>Stínící ocel. Pásek 2050mm, SOP</t>
  </si>
  <si>
    <t>KRABICE PŘÍSTROJOVÁ  do parapetního žlabu</t>
  </si>
  <si>
    <t xml:space="preserve">ZÁSUVKA , pod omítku </t>
  </si>
  <si>
    <t>210 11-1011.R00</t>
  </si>
  <si>
    <t>Zásuvka bílá s ochran. clonkami</t>
  </si>
  <si>
    <t>Zásuvka bílá s přepěťovou ochranou</t>
  </si>
  <si>
    <t>RÁMEČEK PRO SPÍNAČE A ZÁSUVKY</t>
  </si>
  <si>
    <t>Jednonásobný, bílý</t>
  </si>
  <si>
    <t>Dvojnásobný, bílý</t>
  </si>
  <si>
    <t>Trojnásobný, bílý</t>
  </si>
  <si>
    <t>Čtyřnásobný, bílý</t>
  </si>
  <si>
    <t>VODIČ JEDNOŽÍLOVÝ, IZOLACE PVC</t>
  </si>
  <si>
    <t>210 80-0546.R00</t>
  </si>
  <si>
    <t>Vodič nn a vn CYY 4 mm2,ZZ,uložený  pevně</t>
  </si>
  <si>
    <t>210 80-0548.R00</t>
  </si>
  <si>
    <t>Vodič nn a vn CYY 10 mm2,ZZ,uložený  pevně</t>
  </si>
  <si>
    <t>210 81-0045.R00</t>
  </si>
  <si>
    <t>CYKY-O 3x1.5 mm2, pevně</t>
  </si>
  <si>
    <t>CYKY-J 3x1.5 mm2, pevně</t>
  </si>
  <si>
    <t>CYKY-O 4x1.5 mm2, pevně</t>
  </si>
  <si>
    <t>210 81-0055.R00</t>
  </si>
  <si>
    <t>CYKY-J 5x1.5 mm2, pevně</t>
  </si>
  <si>
    <t>210 80-0046.R00</t>
  </si>
  <si>
    <t>CYKY-J 3x2.5 mm2, pevně</t>
  </si>
  <si>
    <t>CYKY-J 5x2.5 mm2, pevně</t>
  </si>
  <si>
    <t>210 80-0081.R00</t>
  </si>
  <si>
    <t>CYKY-J 4x10 mm2, pevně</t>
  </si>
  <si>
    <t>KABEL PRYŽOVÝ(napojení ZŠ)</t>
  </si>
  <si>
    <t>210 80-2469.R00</t>
  </si>
  <si>
    <t>H07RN-F 5G4 mm2, pevně</t>
  </si>
  <si>
    <t>MONTÁŽ ROZVADĚČŮ</t>
  </si>
  <si>
    <t>210 19-0002.R00</t>
  </si>
  <si>
    <t>Oceloplechových do 50 kg</t>
  </si>
  <si>
    <t>UKONČENÍ VODIČŮ A KABELŮ V ROZVADĚČI</t>
  </si>
  <si>
    <t>210 10-0002.R00</t>
  </si>
  <si>
    <t xml:space="preserve"> Ukončení vodičů v rozvaděči + zapojení do 6  mm2</t>
  </si>
  <si>
    <t>210 10-0003.R00</t>
  </si>
  <si>
    <t xml:space="preserve"> Ukončení vodičů v rozvadšči + zapojení do16  mm2</t>
  </si>
  <si>
    <t>PROTIPOŽÁRNÍ PŘEPÁŽKY</t>
  </si>
  <si>
    <t>210 02-0921.R00</t>
  </si>
  <si>
    <t>Ucpávka protipožární, průchod  stěnou tl.15</t>
  </si>
  <si>
    <t>210 02-0911.R00</t>
  </si>
  <si>
    <t>Ucpávka protipožární, průchod stropem tl.20</t>
  </si>
  <si>
    <t xml:space="preserve">SPÍNAČE 3f </t>
  </si>
  <si>
    <t>210 11-0511.R00</t>
  </si>
  <si>
    <t>Spínač trojpólový, 25A, bílý, IP65</t>
  </si>
  <si>
    <t>VENTILÁTOR</t>
  </si>
  <si>
    <t>Odsávací ventilátor ze soc. zařízení</t>
  </si>
  <si>
    <t>VÝSTRAŽNÁ TABULKA</t>
  </si>
  <si>
    <t>210 02-0952.RT1</t>
  </si>
  <si>
    <t>Výstražná tabulka A5vč. Štítku"Hlavní vypínač"</t>
  </si>
  <si>
    <t>PŘÍSTROJE DOrmo2</t>
  </si>
  <si>
    <t>210 12-0823.R00</t>
  </si>
  <si>
    <t>Proudový chránič 25/3N/003-A</t>
  </si>
  <si>
    <t>BLESKOSVOD</t>
  </si>
  <si>
    <t>210 22-0111.R00</t>
  </si>
  <si>
    <t>Zemnící vodič vodič FeZn 30x4</t>
  </si>
  <si>
    <t>Zemnící vodič vodič FeZn Rd10</t>
  </si>
  <si>
    <t>Zemnící vodič AlMgSi Rd8</t>
  </si>
  <si>
    <t>Zemnící vodič AlMgSi-PVC Rd8</t>
  </si>
  <si>
    <t>Svorka zemní SRO3</t>
  </si>
  <si>
    <t>Svorka UNI 315 115</t>
  </si>
  <si>
    <t>Svorka okapová 339 069</t>
  </si>
  <si>
    <t>Průchodka izolační 552 010</t>
  </si>
  <si>
    <t>Chodníková krabice se zkušební svorkou plast, 549 050</t>
  </si>
  <si>
    <t>Krabice se zkušební svorkou do obložení 476 010</t>
  </si>
  <si>
    <t>Utěsnění svodu ze střechy</t>
  </si>
  <si>
    <t>Jímací tyč AlMgSi 1000mm, D10, Al</t>
  </si>
  <si>
    <t>Jímací tyč AlMgSi 2000mm, D16, Al</t>
  </si>
  <si>
    <t>Svorka k jímací tyči</t>
  </si>
  <si>
    <t>Podpěra svodového vodiče do zdi PV01 na komín</t>
  </si>
  <si>
    <t>Podpěra vedení pod zateplení 200 075</t>
  </si>
  <si>
    <t xml:space="preserve">Osazení hmoždinky do cihl.zdiva, HM8 </t>
  </si>
  <si>
    <t>Měření zemního odporu zemniče</t>
  </si>
  <si>
    <t>HODINOVE ZUCTOVACI SAZBY</t>
  </si>
  <si>
    <t>000000|ffffe0|K|1</t>
  </si>
  <si>
    <t>Úprava rozvaděče rmo2 pro proudový chránič</t>
  </si>
  <si>
    <t>Napojení rozvaděče školy na nový přívod</t>
  </si>
  <si>
    <t>Napojení jímací soustavy základní školy</t>
  </si>
  <si>
    <t>Přepojení elektroinstalace přerušené při demontážích</t>
  </si>
  <si>
    <t xml:space="preserve">Provedení popisů a označení zásuvek </t>
  </si>
  <si>
    <t>PROVEDENI REVIZNICH ZKOUSEK</t>
  </si>
  <si>
    <t xml:space="preserve"> Revizni technik</t>
  </si>
  <si>
    <t xml:space="preserve"> Spoluprace s reviz.technikem</t>
  </si>
  <si>
    <t>Elektromontáže - celkem</t>
  </si>
  <si>
    <t>Katov, přístavba ZŠ</t>
  </si>
  <si>
    <t>Příprava kabelových tras, montáž + dodávka</t>
  </si>
  <si>
    <t>No.</t>
  </si>
  <si>
    <t>Jedn. cena</t>
  </si>
  <si>
    <t>Svorka uzemňovací (mont. vč. materiálu)</t>
  </si>
  <si>
    <t>Změření zemního odporu</t>
  </si>
  <si>
    <t>CY 4 H</t>
  </si>
  <si>
    <t>Uzem.kabelových skříní (mont. vč. materiálu)</t>
  </si>
  <si>
    <t>Vodič v trubkovodu CY 4</t>
  </si>
  <si>
    <t>Krabice univerzální ø 68, pod omítkou</t>
  </si>
  <si>
    <t>Přístrojová krabice do parapetního kanálu</t>
  </si>
  <si>
    <t>Podložka přístrojová</t>
  </si>
  <si>
    <t>Krabice protahovací 150x150</t>
  </si>
  <si>
    <t>Vyhledání vývodu, krabice</t>
  </si>
  <si>
    <t>Odvíčkování a zavíčkování krabice</t>
  </si>
  <si>
    <t>Trubka ,PVC  pod omítkou, v podlaze 40 mm, vč. zasekání a zapravení drážek</t>
  </si>
  <si>
    <t>Trubka ,PVC  pod omítkou, v podlaze 25 mm, vč. zasekání a zapravení drážek</t>
  </si>
  <si>
    <t>Trubka ,PVC pod omítkou, v podlaze 32 mm, vč. zasekání a zapravení drážek</t>
  </si>
  <si>
    <t>Značení trasy vedení</t>
  </si>
  <si>
    <t>Vodič v trubkovodu AY 2,5</t>
  </si>
  <si>
    <t>AY 2,5 B</t>
  </si>
  <si>
    <t>Kotvení AT 3 do střechy  (mont. vč. materiálu)</t>
  </si>
  <si>
    <t>Stožár TV  2m do kotvení</t>
  </si>
  <si>
    <t>Osazení hmoždinky 6 mm beton (mont. vč. materiálu)</t>
  </si>
  <si>
    <t>Rozvod univerzální kabeláže - montáž</t>
  </si>
  <si>
    <t>Montáž 19" panelu ISDN</t>
  </si>
  <si>
    <t>Uložení kabelu 5.-6.kat. nestín. do trubky, žlabu, na rošt</t>
  </si>
  <si>
    <t>MONTÁŽ PANELU PRO PŘÍVOD 230V</t>
  </si>
  <si>
    <t>MONTÁŽ RACKU</t>
  </si>
  <si>
    <t>Ukončení - forma na kabelu 5.-6.kat. nestín.</t>
  </si>
  <si>
    <t>Měření 1 segmentu kabelu 5.-6.kat. nestín.</t>
  </si>
  <si>
    <t>Sestavení a montáž zásuvky do 2 modulů RJ 45</t>
  </si>
  <si>
    <t>Montáž modulu zásuvky RJ 45 - nestín.</t>
  </si>
  <si>
    <t>Údaj do měř. protokolu pro 1 segment sítě 5.-6. kat. nestín.</t>
  </si>
  <si>
    <t>Kompletace a vyhotovení měřícího protokolu</t>
  </si>
  <si>
    <t>Závěrečné práce ve skříni RACK</t>
  </si>
  <si>
    <t>Pomocné montážní práce</t>
  </si>
  <si>
    <t>Rozvod univerzální kabeláže - dodávka</t>
  </si>
  <si>
    <t>Nástěnný rozvaděč, 19" rozvaděč jednodílný 15U/500mm celoskleněné dveře</t>
  </si>
  <si>
    <t>Vent.j.spodní(horní)220V/60W  4 ventil. ,termostat RAL7035</t>
  </si>
  <si>
    <t>Propojovací kabel UTP kat.5e, 2 metry, šedý</t>
  </si>
  <si>
    <t>19" jumper ring panel 1U, 5 úchytů hlubokých 64 mm, šedý</t>
  </si>
  <si>
    <t>ZÁSUVKOVÁ LIŠTA, 7x230 Vstř</t>
  </si>
  <si>
    <t>Modul RJ45, EIA 568B, kat. 5e, přímý se záclonkou, bílý</t>
  </si>
  <si>
    <t>Kabel UTP, kat.5e,  4páry</t>
  </si>
  <si>
    <t>Patch panel 1U, 24xRJ45, kat. 5E, 568B</t>
  </si>
  <si>
    <t>ISDN panel 50xRJ45</t>
  </si>
  <si>
    <t>Kryt zásuvky komunikační</t>
  </si>
  <si>
    <t>upevňovací třmen pro 2 moduly RJ45</t>
  </si>
  <si>
    <t>upevňovací třmen pro 1 modul RJ45</t>
  </si>
  <si>
    <t xml:space="preserve">Rámeček pro elektroinstalační přístroje jednonásobný  </t>
  </si>
  <si>
    <t>Rozvod datové sítě - montáž</t>
  </si>
  <si>
    <t>MONTAZ SWITCHE 100/1000Mbps</t>
  </si>
  <si>
    <t>Rozvod datové sítě - dodávka</t>
  </si>
  <si>
    <t>Switch 24x10/100TX RJ-45 2x1000LX SC</t>
  </si>
  <si>
    <t>Rozvod TV - montáž</t>
  </si>
  <si>
    <t>Montáž účast.zásuvky</t>
  </si>
  <si>
    <t>Montáž koaxiálního kabelu do trubky, lišty</t>
  </si>
  <si>
    <t>Plombovaní rozvodu TV signálů</t>
  </si>
  <si>
    <t>Montáž koax. kab. do konektoru</t>
  </si>
  <si>
    <t>Montáž koax.kab. do spojů</t>
  </si>
  <si>
    <t>Ukončení kabelů koaxiálních do průměru 10 mm</t>
  </si>
  <si>
    <t>Měření TV signálu 1 program</t>
  </si>
  <si>
    <t>Montáž TV zesilovače</t>
  </si>
  <si>
    <t>Montáž antény</t>
  </si>
  <si>
    <t>Závěrečné měření na účastnické zásuvce 1 kanál</t>
  </si>
  <si>
    <t>Závěrečné měření na účastnické zásuvce všechny kanály</t>
  </si>
  <si>
    <t>Závěrečné práce v TV skříni</t>
  </si>
  <si>
    <t>Montáž přepěťové ochrany</t>
  </si>
  <si>
    <t>Rozvod TV - dodávka</t>
  </si>
  <si>
    <t>75 ohm koax.kabel-6,8mm  H125  dodávka</t>
  </si>
  <si>
    <t>FX-90 F75 vodič bleskových proudů pro koaxiální vedení</t>
  </si>
  <si>
    <t>DVB-T anténa UHF, kanál 21-69</t>
  </si>
  <si>
    <t>FM anténa, 87,5-108 MHz, kruhová</t>
  </si>
  <si>
    <t>Domovní zesilovač AM352 (1xFM, 2xUHF)</t>
  </si>
  <si>
    <t>Rozbočovač 2x výstup</t>
  </si>
  <si>
    <t>Profesionální lisovací vodotěsný F konektor</t>
  </si>
  <si>
    <t>TV+FM zásuvka-koncová</t>
  </si>
  <si>
    <t>Ks</t>
  </si>
  <si>
    <t>Domácí telefon-montáž</t>
  </si>
  <si>
    <t>ZATAŽ KAB KOAX.</t>
  </si>
  <si>
    <t>UKONČENÍ - FORMA NA KABELU UTP, RJ45</t>
  </si>
  <si>
    <t>Uložení kabelu CYKY pod omítku, v trubkách, žlabech</t>
  </si>
  <si>
    <t>Montáž dom. telefonu</t>
  </si>
  <si>
    <t>Montáž otvírače</t>
  </si>
  <si>
    <t>Montáž tabla s vrátným do zdi</t>
  </si>
  <si>
    <t>Montáž zdroje dom. videotelefonu</t>
  </si>
  <si>
    <t>Závěrečné práce v rozv. skřínI</t>
  </si>
  <si>
    <t>Svorkovnice se šrouby 10 dílná-montáž</t>
  </si>
  <si>
    <t>Nastavení systému DT</t>
  </si>
  <si>
    <t>Domácí telefon-dodávka</t>
  </si>
  <si>
    <t>Kabel UTP, kat.5E,  4páry</t>
  </si>
  <si>
    <t>Kabel CYKY 3x1,5</t>
  </si>
  <si>
    <t xml:space="preserve">Audio/video modul </t>
  </si>
  <si>
    <t>modul, 4 tlačítka</t>
  </si>
  <si>
    <t>panel 4 okénka, Série 5, rozměry 130mm x 246mm</t>
  </si>
  <si>
    <t>Instalační krabice pod omítku pro panel serie 5</t>
  </si>
  <si>
    <t>Povětrnostní kryt panelu řady 5</t>
  </si>
  <si>
    <t>Videodistributor pro 4 monitory</t>
  </si>
  <si>
    <t>Napájecí zdroj 100 - 240V / 18V/1,5A, 6 DIN modulů</t>
  </si>
  <si>
    <t>Napájecí zdroj, 12Vss/2A, 6 DIN modulů</t>
  </si>
  <si>
    <t>Stojan s konektorem pro videotelefon - instalace na stůl</t>
  </si>
  <si>
    <t>videotelefon TFT color 3,5", 4 tlačítka, regulace hlasitosti vyzvánění</t>
  </si>
  <si>
    <t>El. zabezpečovací signalizace - montáž</t>
  </si>
  <si>
    <t>Kabel pro sběrnici</t>
  </si>
  <si>
    <t>Forma kabelová do délky 0,5 m na kabelu do 5x2</t>
  </si>
  <si>
    <t>MONT CIDLA INFRAPASIVNIHO</t>
  </si>
  <si>
    <t>MONT POŽ. DETEKTORU</t>
  </si>
  <si>
    <t>MONTÁŽ  MAG. SPINACE</t>
  </si>
  <si>
    <t>MONTÁŽ ÚSTREDNY, SÍŤ. PŘÍVODU</t>
  </si>
  <si>
    <t>MONTÁŽ KLÁVESNICE</t>
  </si>
  <si>
    <t>MONT.SIRÉNY VNITŘNÍ</t>
  </si>
  <si>
    <t>MONT. POMOCNÉHO ZDROJE</t>
  </si>
  <si>
    <t>Naprogr.středního syst. EZS</t>
  </si>
  <si>
    <t>El. zabezpečovací signalizace - dodávka</t>
  </si>
  <si>
    <t>Infradetektor sběrnicový,  podhled pod detektor</t>
  </si>
  <si>
    <t>MG kontakt sběrnicový</t>
  </si>
  <si>
    <t>Sběrnicový detektor kouře a teplot</t>
  </si>
  <si>
    <t>Ústředna v krytu (17Ah) s komunikátorem TCP/IP, GSM, bez klávesnice, až 50 zón, 8 podsystémů</t>
  </si>
  <si>
    <t>Klávesnice s vestavěnou čtečkou karet a přívěšků, s jedním ovl. segmentem</t>
  </si>
  <si>
    <t>Přídavný ovládací segment</t>
  </si>
  <si>
    <t>Bezkontaktní přívěšek pro čtečky</t>
  </si>
  <si>
    <t>Aku. kapacita 12 Ah, nominální napětí 12 Vss</t>
  </si>
  <si>
    <t>Siréna, bílá, sběrnicová</t>
  </si>
  <si>
    <t>Kryt pro akumulátor</t>
  </si>
  <si>
    <t>02</t>
  </si>
  <si>
    <t>Vedlejší a ostatní náklady</t>
  </si>
  <si>
    <t>Položky VON platí pro celou stavbu včetně všech profesí., Rozpočet je proveden v cenové soustavě RTS.</t>
  </si>
  <si>
    <t>Položky, které nejsou v cenové soustavě RTS jsou vytvořeny individuální kalkulací na základě jednotkových cen prací obdobného charakteru platných v dané době a v dané lokalitě a mají označení ve sloupci " číslo položky " :</t>
  </si>
  <si>
    <t>- velké PC před číslem položky.</t>
  </si>
  <si>
    <t>VN</t>
  </si>
  <si>
    <t>Vedlejší náklady</t>
  </si>
  <si>
    <t>005121010R</t>
  </si>
  <si>
    <t>Vybudování zařízení staveniště</t>
  </si>
  <si>
    <t>Soubor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</si>
  <si>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</si>
  <si>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</si>
  <si>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</si>
  <si>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</si>
  <si>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</si>
  <si>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</si>
  <si>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</si>
  <si>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ON</t>
  </si>
  <si>
    <t>Ostatní náklady</t>
  </si>
  <si>
    <t>PC 03 - 1</t>
  </si>
  <si>
    <t>Laboratorní zkoušky vody dle požadavku hygieny</t>
  </si>
  <si>
    <t>PC 230</t>
  </si>
  <si>
    <t>Aktualizace projektové dokumentace</t>
  </si>
  <si>
    <t>aktualizovaný projekt ( protihluková studie ) - pevně stanovená cena zadavatelem 15 000 Kč bez DPH</t>
  </si>
  <si>
    <t>005261020R</t>
  </si>
  <si>
    <t>Bankovní záruky</t>
  </si>
  <si>
    <t>Náklady zhotovitele spojené se zabezpečením a poskytnutím zajišťovacích bankovních záruk, pokud je zadavatel požaduje v obchodních podmínkách.</t>
  </si>
  <si>
    <t>005261010R</t>
  </si>
  <si>
    <t>Pojištění dodavatele a pojištění díla</t>
  </si>
  <si>
    <t>Náklady spojené s povinným pojištěním dodavatele nebo stavebního díla či jeho části, v rozsahu obchodních podmínek.</t>
  </si>
  <si>
    <t>005211010R</t>
  </si>
  <si>
    <t>Předání a převzetí staveniště</t>
  </si>
  <si>
    <t>Náklady spojené s účastí zhotovitele na předání a převzetí staveniště.</t>
  </si>
  <si>
    <t>005241010R - 1</t>
  </si>
  <si>
    <t xml:space="preserve">Dokumentace skutečného provedení </t>
  </si>
  <si>
    <t>Náklady na vyhotovení dokumentace skutečného provedení stavby a její předání objednateli v požadované formě a požadovaném počtu.( 3 x grafická podoba s 1 x autorizací,</t>
  </si>
  <si>
    <t>3 x digitálně ve všech profesesích. Pevně stanovená cena zadavatelem  30 000 Kč bez DPH.</t>
  </si>
  <si>
    <t>005281010R</t>
  </si>
  <si>
    <t>Propagace</t>
  </si>
  <si>
    <t>Dodávka, montáž a následná demontáž informační tabule  dle návrho obchodních pomínek. Tabule s identifikačními údaji stavby, (dle zákona č. 183/2006 Sb., stavební zákon, a jeho prováděcího předpisu, obsahující informace o objednateli, zhotoviteli, technickém dozoru investora a koordinátorovi BOZP.</t>
  </si>
  <si>
    <t>SO 01 - Přístavba základní školy</t>
  </si>
  <si>
    <t>SO 01 - Přístavba základní školy - celkem</t>
  </si>
  <si>
    <t>TO 01 - Přípojka dešťové kanalizace</t>
  </si>
  <si>
    <t xml:space="preserve">Stavební část celkem              </t>
  </si>
  <si>
    <t xml:space="preserve">                                                                    </t>
  </si>
  <si>
    <t xml:space="preserve">     </t>
  </si>
  <si>
    <t xml:space="preserve">  </t>
  </si>
  <si>
    <t xml:space="preserve">NÁKLADY  BEZ  DPH  CELKEM                         </t>
  </si>
  <si>
    <t>D P H</t>
  </si>
  <si>
    <t>21 % stavební část</t>
  </si>
  <si>
    <t>21 % VN a ON</t>
  </si>
  <si>
    <t xml:space="preserve">D P H celkem              </t>
  </si>
  <si>
    <t xml:space="preserve">NÁKLADY  CELKEM                         </t>
  </si>
  <si>
    <t>není součástí ZD</t>
  </si>
  <si>
    <t xml:space="preserve">D1.4.1 Zdravotní technika </t>
  </si>
  <si>
    <t>D1.4.2 Zdravotní technika - vni plyn</t>
  </si>
  <si>
    <t>D1.4.3 Ústřední vytápění</t>
  </si>
  <si>
    <t>D1.1 Stavební část</t>
  </si>
  <si>
    <t>D1.4.4 Elektroinstalace  silnoproud</t>
  </si>
  <si>
    <t>D1.4.5 Elektroinstalace  slaboproud</t>
  </si>
  <si>
    <t>REKAPITULACE  INVESTIČNÍCH NÁKLADŮ</t>
  </si>
  <si>
    <t xml:space="preserve">HLINÍKOVÉ ČLÁNKOVÉ TĚLESO 312 PLUS PR   </t>
  </si>
  <si>
    <t xml:space="preserve">HLINÍKOVÉ ČLÁNKOVÉ TĚLESO 502 PLUS PR   </t>
  </si>
  <si>
    <t xml:space="preserve">HLINÍKOVÉ ČLÁNKOVÉ TĚLESO 504 PLUS PR   </t>
  </si>
  <si>
    <t xml:space="preserve">HLINÍKOVÉ ČLÁNKOVÉ TĚLESO 506 PLUS PR   </t>
  </si>
  <si>
    <t xml:space="preserve">HLINÍKOVÉ ČLÁNKOVÉ TĚLESO 508 PLUS PR   </t>
  </si>
  <si>
    <t xml:space="preserve">HLINÍKOVÉ ČLÁNKOVÉ TĚLESO 510 PLUS PR   </t>
  </si>
  <si>
    <t xml:space="preserve">HLINÍKOVÉ ČLÁNKOVÉ TĚLESO 516 PLUS PR   </t>
  </si>
  <si>
    <t xml:space="preserve">D1.4.4 Zařízení silnoproudé elektrotechniky </t>
  </si>
  <si>
    <t>Soupis prací</t>
  </si>
  <si>
    <t xml:space="preserve">Stavba: </t>
  </si>
  <si>
    <t>D1.4.5 Elektroinstalace slaboproud - Soupis prací</t>
  </si>
</sst>
</file>

<file path=xl/styles.xml><?xml version="1.0" encoding="utf-8"?>
<styleSheet xmlns="http://schemas.openxmlformats.org/spreadsheetml/2006/main">
  <numFmts count="10">
    <numFmt numFmtId="164" formatCode="#,##0.00000"/>
    <numFmt numFmtId="165" formatCode="0.000"/>
    <numFmt numFmtId="166" formatCode="_-* #,##0.00&quot; Kč&quot;_-;\-* #,##0.00&quot; Kč&quot;_-;_-* \-??&quot; Kč&quot;_-;_-@_-"/>
    <numFmt numFmtId="167" formatCode="#,##0.000"/>
    <numFmt numFmtId="168" formatCode="#,##0;\-#,##0"/>
    <numFmt numFmtId="169" formatCode="#,##0.000;\-#,##0.000"/>
    <numFmt numFmtId="170" formatCode="#,##0.00;\-#,##0.00"/>
    <numFmt numFmtId="171" formatCode="d/m/yyyy"/>
    <numFmt numFmtId="172" formatCode="#,##0.00&quot; Kč&quot;"/>
    <numFmt numFmtId="173" formatCode="#,##0\ &quot;Kč&quot;"/>
  </numFmts>
  <fonts count="57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rgb="FFDF7000"/>
      <name val="Arial CE"/>
      <charset val="238"/>
    </font>
    <font>
      <sz val="8"/>
      <color indexed="9"/>
      <name val="Arial CE"/>
      <charset val="238"/>
    </font>
    <font>
      <sz val="9"/>
      <name val="Arial CE"/>
      <charset val="238"/>
    </font>
    <font>
      <sz val="10"/>
      <name val="Arial"/>
      <family val="2"/>
      <charset val="238"/>
    </font>
    <font>
      <sz val="8"/>
      <name val="MS Sans Serif"/>
      <family val="2"/>
      <charset val="238"/>
    </font>
    <font>
      <sz val="1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color indexed="56"/>
      <name val="Arial"/>
      <family val="2"/>
      <charset val="238"/>
    </font>
    <font>
      <sz val="10"/>
      <color indexed="56"/>
      <name val="Arial"/>
      <family val="2"/>
      <charset val="238"/>
    </font>
    <font>
      <sz val="10"/>
      <color indexed="61"/>
      <name val="Arial"/>
      <family val="2"/>
      <charset val="238"/>
    </font>
    <font>
      <i/>
      <sz val="10"/>
      <color indexed="63"/>
      <name val="Arial"/>
      <family val="2"/>
      <charset val="238"/>
    </font>
    <font>
      <i/>
      <sz val="8"/>
      <color indexed="8"/>
      <name val="Arial"/>
      <family val="2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i/>
      <sz val="8"/>
      <color indexed="12"/>
      <name val="Arial CE"/>
      <charset val="238"/>
    </font>
    <font>
      <i/>
      <sz val="8"/>
      <color theme="4" tint="-0.249977111117893"/>
      <name val="Arial CE"/>
      <charset val="238"/>
    </font>
    <font>
      <b/>
      <sz val="11"/>
      <name val="Arial CE"/>
      <charset val="238"/>
    </font>
    <font>
      <sz val="10"/>
      <color indexed="8"/>
      <name val="MS Sans Serif"/>
      <family val="2"/>
    </font>
    <font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MS Sans Serif"/>
      <family val="2"/>
    </font>
    <font>
      <sz val="8"/>
      <color indexed="8"/>
      <name val="MS Sans Serif"/>
      <family val="2"/>
    </font>
    <font>
      <i/>
      <sz val="10"/>
      <color indexed="8"/>
      <name val="MS Sans Serif"/>
      <family val="2"/>
    </font>
    <font>
      <b/>
      <sz val="11"/>
      <color indexed="8"/>
      <name val="MS Sans Serif"/>
      <family val="2"/>
    </font>
    <font>
      <i/>
      <sz val="10"/>
      <name val="Times New Roman CE"/>
      <family val="1"/>
      <charset val="238"/>
    </font>
    <font>
      <sz val="9"/>
      <name val="Arial CE"/>
      <family val="2"/>
      <charset val="238"/>
    </font>
    <font>
      <b/>
      <i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 CE"/>
      <family val="2"/>
      <charset val="238"/>
    </font>
    <font>
      <sz val="10"/>
      <color indexed="10"/>
      <name val="Arial CE"/>
      <family val="2"/>
      <charset val="238"/>
    </font>
    <font>
      <sz val="9"/>
      <color indexed="10"/>
      <name val="Arial CE"/>
      <family val="2"/>
      <charset val="238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1"/>
      <name val="Times New Roman"/>
      <family val="1"/>
      <charset val="238"/>
    </font>
    <font>
      <sz val="14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indexed="57"/>
        <bgColor indexed="9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7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9" fillId="0" borderId="0"/>
    <xf numFmtId="0" fontId="10" fillId="0" borderId="0" applyAlignment="0">
      <alignment vertical="top" wrapText="1"/>
      <protection locked="0"/>
    </xf>
    <xf numFmtId="0" fontId="1" fillId="0" borderId="0"/>
    <xf numFmtId="0" fontId="1" fillId="0" borderId="0" applyProtection="0"/>
    <xf numFmtId="166" fontId="1" fillId="0" borderId="0" applyFill="0" applyBorder="0" applyAlignment="0" applyProtection="0"/>
    <xf numFmtId="0" fontId="39" fillId="0" borderId="0" applyProtection="0"/>
    <xf numFmtId="0" fontId="48" fillId="0" borderId="0"/>
  </cellStyleXfs>
  <cellXfs count="389">
    <xf numFmtId="0" fontId="0" fillId="0" borderId="0" xfId="0"/>
    <xf numFmtId="0" fontId="0" fillId="0" borderId="0" xfId="0" applyAlignment="1">
      <alignment vertical="top"/>
    </xf>
    <xf numFmtId="0" fontId="0" fillId="0" borderId="18" xfId="0" applyBorder="1" applyAlignment="1">
      <alignment vertical="top"/>
    </xf>
    <xf numFmtId="49" fontId="0" fillId="0" borderId="19" xfId="0" applyNumberFormat="1" applyBorder="1" applyAlignment="1">
      <alignment vertical="top"/>
    </xf>
    <xf numFmtId="0" fontId="0" fillId="0" borderId="21" xfId="0" applyBorder="1" applyAlignment="1">
      <alignment vertical="top"/>
    </xf>
    <xf numFmtId="49" fontId="0" fillId="0" borderId="1" xfId="0" applyNumberFormat="1" applyBorder="1" applyAlignment="1">
      <alignment vertical="top"/>
    </xf>
    <xf numFmtId="0" fontId="0" fillId="0" borderId="23" xfId="0" applyBorder="1" applyAlignment="1">
      <alignment vertical="top"/>
    </xf>
    <xf numFmtId="49" fontId="0" fillId="0" borderId="24" xfId="0" applyNumberFormat="1" applyBorder="1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2" borderId="26" xfId="0" applyFill="1" applyBorder="1" applyAlignment="1">
      <alignment vertical="top"/>
    </xf>
    <xf numFmtId="0" fontId="0" fillId="2" borderId="27" xfId="0" applyNumberFormat="1" applyFill="1" applyBorder="1" applyAlignment="1">
      <alignment vertical="top"/>
    </xf>
    <xf numFmtId="0" fontId="0" fillId="2" borderId="11" xfId="0" applyNumberFormat="1" applyFill="1" applyBorder="1" applyAlignment="1">
      <alignment horizontal="left" vertical="top" wrapText="1"/>
    </xf>
    <xf numFmtId="0" fontId="0" fillId="2" borderId="11" xfId="0" applyFill="1" applyBorder="1" applyAlignment="1">
      <alignment horizontal="center" vertical="top" shrinkToFit="1"/>
    </xf>
    <xf numFmtId="164" fontId="0" fillId="2" borderId="11" xfId="0" applyNumberFormat="1" applyFill="1" applyBorder="1" applyAlignment="1">
      <alignment vertical="top"/>
    </xf>
    <xf numFmtId="4" fontId="0" fillId="2" borderId="11" xfId="0" applyNumberFormat="1" applyFill="1" applyBorder="1" applyAlignment="1">
      <alignment vertical="top"/>
    </xf>
    <xf numFmtId="4" fontId="0" fillId="2" borderId="12" xfId="0" applyNumberFormat="1" applyFill="1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4" xfId="0" applyNumberFormat="1" applyBorder="1" applyAlignment="1">
      <alignment vertical="top"/>
    </xf>
    <xf numFmtId="0" fontId="0" fillId="0" borderId="14" xfId="0" applyNumberFormat="1" applyBorder="1" applyAlignment="1">
      <alignment horizontal="left" vertical="top" wrapText="1"/>
    </xf>
    <xf numFmtId="0" fontId="0" fillId="0" borderId="17" xfId="0" applyBorder="1" applyAlignment="1">
      <alignment horizontal="center" vertical="top" shrinkToFit="1"/>
    </xf>
    <xf numFmtId="164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4" fontId="0" fillId="0" borderId="28" xfId="0" applyNumberFormat="1" applyBorder="1" applyAlignment="1">
      <alignment vertical="top"/>
    </xf>
    <xf numFmtId="0" fontId="0" fillId="0" borderId="0" xfId="0" applyAlignment="1">
      <alignment vertical="top" wrapText="1"/>
    </xf>
    <xf numFmtId="0" fontId="0" fillId="2" borderId="23" xfId="0" applyFill="1" applyBorder="1" applyAlignment="1">
      <alignment vertical="top"/>
    </xf>
    <xf numFmtId="49" fontId="0" fillId="2" borderId="24" xfId="0" applyNumberFormat="1" applyFill="1" applyBorder="1" applyAlignment="1">
      <alignment vertical="top"/>
    </xf>
    <xf numFmtId="0" fontId="0" fillId="2" borderId="10" xfId="0" applyFill="1" applyBorder="1" applyAlignment="1">
      <alignment horizontal="center" vertical="top" shrinkToFit="1"/>
    </xf>
    <xf numFmtId="49" fontId="0" fillId="0" borderId="0" xfId="0" applyNumberFormat="1"/>
    <xf numFmtId="0" fontId="3" fillId="0" borderId="0" xfId="0" applyFont="1"/>
    <xf numFmtId="49" fontId="0" fillId="2" borderId="29" xfId="0" applyNumberFormat="1" applyFill="1" applyBorder="1" applyAlignment="1">
      <alignment horizontal="left" vertical="top" wrapText="1"/>
    </xf>
    <xf numFmtId="0" fontId="0" fillId="2" borderId="29" xfId="0" applyFill="1" applyBorder="1" applyAlignment="1">
      <alignment horizontal="center" vertical="top" shrinkToFit="1"/>
    </xf>
    <xf numFmtId="4" fontId="0" fillId="2" borderId="29" xfId="0" applyNumberFormat="1" applyFill="1" applyBorder="1" applyAlignment="1">
      <alignment vertical="top"/>
    </xf>
    <xf numFmtId="0" fontId="0" fillId="2" borderId="30" xfId="0" applyFill="1" applyBorder="1" applyAlignment="1">
      <alignment vertical="top"/>
    </xf>
    <xf numFmtId="49" fontId="0" fillId="2" borderId="29" xfId="0" applyNumberFormat="1" applyFill="1" applyBorder="1" applyAlignment="1">
      <alignment vertical="top"/>
    </xf>
    <xf numFmtId="0" fontId="7" fillId="0" borderId="0" xfId="0" applyNumberFormat="1" applyFont="1" applyAlignment="1">
      <alignment wrapText="1"/>
    </xf>
    <xf numFmtId="0" fontId="3" fillId="0" borderId="5" xfId="0" applyNumberFormat="1" applyFont="1" applyBorder="1" applyAlignment="1">
      <alignment vertical="top"/>
    </xf>
    <xf numFmtId="0" fontId="0" fillId="2" borderId="31" xfId="0" applyNumberFormat="1" applyFill="1" applyBorder="1" applyAlignment="1">
      <alignment vertical="top"/>
    </xf>
    <xf numFmtId="0" fontId="3" fillId="0" borderId="15" xfId="0" applyFont="1" applyBorder="1" applyAlignment="1">
      <alignment vertical="top" shrinkToFit="1"/>
    </xf>
    <xf numFmtId="0" fontId="0" fillId="2" borderId="2" xfId="0" applyFill="1" applyBorder="1" applyAlignment="1">
      <alignment vertical="top" shrinkToFit="1"/>
    </xf>
    <xf numFmtId="0" fontId="5" fillId="0" borderId="15" xfId="0" applyNumberFormat="1" applyFont="1" applyBorder="1" applyAlignment="1">
      <alignment vertical="top" wrapText="1" shrinkToFit="1"/>
    </xf>
    <xf numFmtId="0" fontId="6" fillId="0" borderId="15" xfId="0" applyNumberFormat="1" applyFont="1" applyBorder="1" applyAlignment="1">
      <alignment vertical="top" wrapText="1" shrinkToFit="1"/>
    </xf>
    <xf numFmtId="4" fontId="3" fillId="0" borderId="15" xfId="0" applyNumberFormat="1" applyFont="1" applyBorder="1" applyAlignment="1">
      <alignment vertical="top" shrinkToFit="1"/>
    </xf>
    <xf numFmtId="0" fontId="3" fillId="0" borderId="3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49" fontId="0" fillId="2" borderId="13" xfId="0" applyNumberFormat="1" applyFill="1" applyBorder="1" applyAlignment="1">
      <alignment vertical="top"/>
    </xf>
    <xf numFmtId="49" fontId="0" fillId="2" borderId="10" xfId="0" applyNumberFormat="1" applyFill="1" applyBorder="1" applyAlignment="1">
      <alignment horizontal="left" vertical="top" wrapText="1"/>
    </xf>
    <xf numFmtId="0" fontId="3" fillId="0" borderId="15" xfId="0" applyNumberFormat="1" applyFont="1" applyBorder="1" applyAlignment="1">
      <alignment horizontal="left" vertical="top" wrapText="1"/>
    </xf>
    <xf numFmtId="0" fontId="0" fillId="2" borderId="2" xfId="0" applyNumberFormat="1" applyFill="1" applyBorder="1" applyAlignment="1">
      <alignment horizontal="left" vertical="top" wrapText="1"/>
    </xf>
    <xf numFmtId="0" fontId="5" fillId="0" borderId="15" xfId="0" quotePrefix="1" applyNumberFormat="1" applyFont="1" applyBorder="1" applyAlignment="1">
      <alignment horizontal="left" vertical="top" wrapText="1"/>
    </xf>
    <xf numFmtId="0" fontId="6" fillId="0" borderId="15" xfId="0" quotePrefix="1" applyNumberFormat="1" applyFont="1" applyBorder="1" applyAlignment="1">
      <alignment horizontal="left" vertical="top" wrapText="1"/>
    </xf>
    <xf numFmtId="165" fontId="0" fillId="2" borderId="29" xfId="0" applyNumberFormat="1" applyFill="1" applyBorder="1" applyAlignment="1">
      <alignment vertical="top"/>
    </xf>
    <xf numFmtId="165" fontId="0" fillId="2" borderId="10" xfId="0" applyNumberFormat="1" applyFill="1" applyBorder="1" applyAlignment="1">
      <alignment vertical="top"/>
    </xf>
    <xf numFmtId="165" fontId="3" fillId="0" borderId="15" xfId="0" applyNumberFormat="1" applyFont="1" applyBorder="1" applyAlignment="1">
      <alignment vertical="top" shrinkToFit="1"/>
    </xf>
    <xf numFmtId="165" fontId="0" fillId="2" borderId="2" xfId="0" applyNumberFormat="1" applyFill="1" applyBorder="1" applyAlignment="1">
      <alignment vertical="top" shrinkToFit="1"/>
    </xf>
    <xf numFmtId="165" fontId="5" fillId="0" borderId="15" xfId="0" applyNumberFormat="1" applyFont="1" applyBorder="1" applyAlignment="1">
      <alignment vertical="top" wrapText="1" shrinkToFit="1"/>
    </xf>
    <xf numFmtId="165" fontId="6" fillId="0" borderId="15" xfId="0" applyNumberFormat="1" applyFont="1" applyBorder="1" applyAlignment="1">
      <alignment vertical="top" wrapText="1" shrinkToFit="1"/>
    </xf>
    <xf numFmtId="165" fontId="0" fillId="0" borderId="0" xfId="0" applyNumberFormat="1"/>
    <xf numFmtId="4" fontId="8" fillId="0" borderId="0" xfId="0" applyNumberFormat="1" applyFont="1"/>
    <xf numFmtId="49" fontId="0" fillId="0" borderId="0" xfId="0" applyNumberFormat="1" applyBorder="1" applyAlignment="1">
      <alignment vertical="top" wrapText="1"/>
    </xf>
    <xf numFmtId="0" fontId="0" fillId="0" borderId="0" xfId="0" applyBorder="1" applyAlignment="1">
      <alignment horizontal="center" vertical="top"/>
    </xf>
    <xf numFmtId="165" fontId="0" fillId="0" borderId="0" xfId="0" applyNumberForma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4" xfId="0" applyBorder="1" applyAlignment="1">
      <alignment vertical="top"/>
    </xf>
    <xf numFmtId="0" fontId="5" fillId="0" borderId="2" xfId="0" quotePrefix="1" applyNumberFormat="1" applyFont="1" applyBorder="1" applyAlignment="1">
      <alignment horizontal="left" vertical="top" wrapText="1"/>
    </xf>
    <xf numFmtId="0" fontId="5" fillId="0" borderId="2" xfId="0" applyNumberFormat="1" applyFont="1" applyBorder="1" applyAlignment="1">
      <alignment vertical="top" wrapText="1" shrinkToFit="1"/>
    </xf>
    <xf numFmtId="165" fontId="5" fillId="0" borderId="2" xfId="0" applyNumberFormat="1" applyFont="1" applyBorder="1" applyAlignment="1">
      <alignment vertical="top" wrapText="1" shrinkToFit="1"/>
    </xf>
    <xf numFmtId="4" fontId="3" fillId="0" borderId="2" xfId="0" applyNumberFormat="1" applyFont="1" applyBorder="1" applyAlignment="1">
      <alignment vertical="top" shrinkToFit="1"/>
    </xf>
    <xf numFmtId="167" fontId="3" fillId="0" borderId="15" xfId="0" applyNumberFormat="1" applyFont="1" applyFill="1" applyBorder="1"/>
    <xf numFmtId="0" fontId="3" fillId="0" borderId="36" xfId="0" applyNumberFormat="1" applyFont="1" applyBorder="1" applyAlignment="1">
      <alignment horizontal="left" vertical="top" wrapText="1"/>
    </xf>
    <xf numFmtId="0" fontId="3" fillId="0" borderId="36" xfId="0" applyFont="1" applyBorder="1" applyAlignment="1">
      <alignment vertical="top" shrinkToFit="1"/>
    </xf>
    <xf numFmtId="165" fontId="3" fillId="0" borderId="36" xfId="0" applyNumberFormat="1" applyFont="1" applyBorder="1" applyAlignment="1">
      <alignment vertical="top" shrinkToFit="1"/>
    </xf>
    <xf numFmtId="4" fontId="3" fillId="0" borderId="36" xfId="0" applyNumberFormat="1" applyFont="1" applyBorder="1" applyAlignment="1">
      <alignment vertical="top" shrinkToFit="1"/>
    </xf>
    <xf numFmtId="165" fontId="3" fillId="0" borderId="15" xfId="0" applyNumberFormat="1" applyFont="1" applyBorder="1" applyAlignment="1">
      <alignment vertical="top" wrapText="1" shrinkToFit="1"/>
    </xf>
    <xf numFmtId="0" fontId="12" fillId="0" borderId="0" xfId="1" applyFont="1" applyAlignment="1">
      <alignment vertical="center"/>
    </xf>
    <xf numFmtId="49" fontId="13" fillId="0" borderId="41" xfId="1" applyNumberFormat="1" applyFont="1" applyFill="1" applyBorder="1" applyAlignment="1" applyProtection="1">
      <alignment horizontal="left" vertical="center"/>
    </xf>
    <xf numFmtId="49" fontId="13" fillId="0" borderId="42" xfId="1" applyNumberFormat="1" applyFont="1" applyFill="1" applyBorder="1" applyAlignment="1" applyProtection="1">
      <alignment horizontal="left" vertical="center"/>
    </xf>
    <xf numFmtId="49" fontId="13" fillId="0" borderId="42" xfId="1" applyNumberFormat="1" applyFont="1" applyFill="1" applyBorder="1" applyAlignment="1" applyProtection="1">
      <alignment horizontal="center" vertical="center"/>
    </xf>
    <xf numFmtId="49" fontId="13" fillId="0" borderId="43" xfId="1" applyNumberFormat="1" applyFont="1" applyFill="1" applyBorder="1" applyAlignment="1" applyProtection="1">
      <alignment horizontal="center" vertical="center"/>
    </xf>
    <xf numFmtId="49" fontId="13" fillId="0" borderId="46" xfId="1" applyNumberFormat="1" applyFont="1" applyFill="1" applyBorder="1" applyAlignment="1" applyProtection="1">
      <alignment horizontal="center" vertical="center"/>
    </xf>
    <xf numFmtId="49" fontId="12" fillId="0" borderId="47" xfId="1" applyNumberFormat="1" applyFont="1" applyFill="1" applyBorder="1" applyAlignment="1" applyProtection="1">
      <alignment horizontal="left" vertical="center"/>
    </xf>
    <xf numFmtId="49" fontId="12" fillId="0" borderId="48" xfId="1" applyNumberFormat="1" applyFont="1" applyFill="1" applyBorder="1" applyAlignment="1" applyProtection="1">
      <alignment horizontal="left" vertical="center"/>
    </xf>
    <xf numFmtId="49" fontId="13" fillId="0" borderId="48" xfId="1" applyNumberFormat="1" applyFont="1" applyFill="1" applyBorder="1" applyAlignment="1" applyProtection="1">
      <alignment horizontal="left" vertical="center"/>
    </xf>
    <xf numFmtId="49" fontId="13" fillId="0" borderId="49" xfId="1" applyNumberFormat="1" applyFont="1" applyFill="1" applyBorder="1" applyAlignment="1" applyProtection="1">
      <alignment horizontal="center" vertical="center"/>
    </xf>
    <xf numFmtId="49" fontId="13" fillId="0" borderId="50" xfId="1" applyNumberFormat="1" applyFont="1" applyFill="1" applyBorder="1" applyAlignment="1" applyProtection="1">
      <alignment horizontal="center" vertical="center"/>
    </xf>
    <xf numFmtId="49" fontId="13" fillId="0" borderId="51" xfId="1" applyNumberFormat="1" applyFont="1" applyFill="1" applyBorder="1" applyAlignment="1" applyProtection="1">
      <alignment horizontal="center" vertical="center"/>
    </xf>
    <xf numFmtId="49" fontId="13" fillId="0" borderId="52" xfId="1" applyNumberFormat="1" applyFont="1" applyFill="1" applyBorder="1" applyAlignment="1" applyProtection="1">
      <alignment horizontal="center" vertical="center"/>
    </xf>
    <xf numFmtId="49" fontId="13" fillId="0" borderId="53" xfId="1" applyNumberFormat="1" applyFont="1" applyFill="1" applyBorder="1" applyAlignment="1" applyProtection="1">
      <alignment horizontal="center" vertical="center"/>
    </xf>
    <xf numFmtId="49" fontId="14" fillId="3" borderId="0" xfId="1" applyNumberFormat="1" applyFont="1" applyFill="1" applyBorder="1" applyAlignment="1" applyProtection="1">
      <alignment horizontal="right" vertical="center"/>
    </xf>
    <xf numFmtId="49" fontId="15" fillId="3" borderId="0" xfId="1" applyNumberFormat="1" applyFont="1" applyFill="1" applyBorder="1" applyAlignment="1" applyProtection="1">
      <alignment horizontal="left" vertical="center"/>
    </xf>
    <xf numFmtId="49" fontId="14" fillId="3" borderId="0" xfId="1" applyNumberFormat="1" applyFont="1" applyFill="1" applyBorder="1" applyAlignment="1" applyProtection="1">
      <alignment horizontal="left" vertical="center"/>
    </xf>
    <xf numFmtId="4" fontId="14" fillId="3" borderId="0" xfId="1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left" vertical="center"/>
    </xf>
    <xf numFmtId="49" fontId="16" fillId="0" borderId="0" xfId="1" applyNumberFormat="1" applyFont="1" applyFill="1" applyBorder="1" applyAlignment="1" applyProtection="1">
      <alignment horizontal="left" vertical="center" wrapText="1"/>
    </xf>
    <xf numFmtId="4" fontId="16" fillId="0" borderId="0" xfId="1" applyNumberFormat="1" applyFont="1" applyFill="1" applyBorder="1" applyAlignment="1" applyProtection="1">
      <alignment horizontal="right" vertical="center" wrapText="1"/>
    </xf>
    <xf numFmtId="4" fontId="16" fillId="0" borderId="0" xfId="1" applyNumberFormat="1" applyFont="1" applyFill="1" applyBorder="1" applyAlignment="1" applyProtection="1">
      <alignment horizontal="right" vertical="center"/>
    </xf>
    <xf numFmtId="49" fontId="16" fillId="0" borderId="0" xfId="1" applyNumberFormat="1" applyFont="1" applyFill="1" applyBorder="1" applyAlignment="1" applyProtection="1">
      <alignment horizontal="right" vertical="center"/>
    </xf>
    <xf numFmtId="4" fontId="12" fillId="0" borderId="0" xfId="1" applyNumberFormat="1" applyFont="1" applyFill="1" applyBorder="1" applyAlignment="1" applyProtection="1">
      <alignment horizontal="right" vertical="center"/>
    </xf>
    <xf numFmtId="49" fontId="12" fillId="0" borderId="0" xfId="1" applyNumberFormat="1" applyFont="1" applyFill="1" applyBorder="1" applyAlignment="1" applyProtection="1">
      <alignment horizontal="right" vertical="center"/>
    </xf>
    <xf numFmtId="49" fontId="17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Font="1" applyAlignment="1">
      <alignment vertical="center" wrapText="1"/>
    </xf>
    <xf numFmtId="4" fontId="17" fillId="0" borderId="0" xfId="1" applyNumberFormat="1" applyFont="1" applyFill="1" applyBorder="1" applyAlignment="1" applyProtection="1">
      <alignment horizontal="right" vertical="center" wrapText="1"/>
    </xf>
    <xf numFmtId="49" fontId="16" fillId="0" borderId="35" xfId="1" applyNumberFormat="1" applyFont="1" applyFill="1" applyBorder="1" applyAlignment="1" applyProtection="1">
      <alignment horizontal="left" vertical="center"/>
    </xf>
    <xf numFmtId="49" fontId="16" fillId="0" borderId="35" xfId="1" applyNumberFormat="1" applyFont="1" applyFill="1" applyBorder="1" applyAlignment="1" applyProtection="1">
      <alignment horizontal="left" vertical="center" wrapText="1"/>
    </xf>
    <xf numFmtId="4" fontId="16" fillId="0" borderId="35" xfId="1" applyNumberFormat="1" applyFont="1" applyFill="1" applyBorder="1" applyAlignment="1" applyProtection="1">
      <alignment horizontal="right" vertical="center" wrapText="1"/>
    </xf>
    <xf numFmtId="4" fontId="16" fillId="0" borderId="35" xfId="1" applyNumberFormat="1" applyFont="1" applyFill="1" applyBorder="1" applyAlignment="1" applyProtection="1">
      <alignment horizontal="right" vertical="center"/>
    </xf>
    <xf numFmtId="49" fontId="16" fillId="0" borderId="35" xfId="1" applyNumberFormat="1" applyFont="1" applyFill="1" applyBorder="1" applyAlignment="1" applyProtection="1">
      <alignment horizontal="right" vertical="center"/>
    </xf>
    <xf numFmtId="0" fontId="12" fillId="0" borderId="38" xfId="1" applyNumberFormat="1" applyFont="1" applyFill="1" applyBorder="1" applyAlignment="1" applyProtection="1">
      <alignment vertical="center"/>
    </xf>
    <xf numFmtId="0" fontId="12" fillId="0" borderId="38" xfId="1" applyNumberFormat="1" applyFont="1" applyFill="1" applyBorder="1" applyAlignment="1" applyProtection="1">
      <alignment vertical="center" wrapText="1"/>
    </xf>
    <xf numFmtId="4" fontId="13" fillId="0" borderId="38" xfId="1" applyNumberFormat="1" applyFont="1" applyFill="1" applyBorder="1" applyAlignment="1" applyProtection="1">
      <alignment horizontal="right" vertical="center"/>
    </xf>
    <xf numFmtId="49" fontId="18" fillId="0" borderId="0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vertical="center"/>
    </xf>
    <xf numFmtId="0" fontId="12" fillId="0" borderId="3" xfId="1" applyNumberFormat="1" applyFont="1" applyFill="1" applyBorder="1" applyAlignment="1" applyProtection="1">
      <alignment vertical="center"/>
    </xf>
    <xf numFmtId="49" fontId="15" fillId="3" borderId="54" xfId="1" applyNumberFormat="1" applyFont="1" applyFill="1" applyBorder="1" applyAlignment="1" applyProtection="1">
      <alignment horizontal="left" vertical="center"/>
    </xf>
    <xf numFmtId="49" fontId="14" fillId="3" borderId="54" xfId="1" applyNumberFormat="1" applyFont="1" applyFill="1" applyBorder="1" applyAlignment="1" applyProtection="1">
      <alignment horizontal="left" vertical="center"/>
    </xf>
    <xf numFmtId="4" fontId="14" fillId="3" borderId="54" xfId="1" applyNumberFormat="1" applyFont="1" applyFill="1" applyBorder="1" applyAlignment="1" applyProtection="1">
      <alignment horizontal="right" vertical="center"/>
    </xf>
    <xf numFmtId="49" fontId="14" fillId="3" borderId="54" xfId="1" applyNumberFormat="1" applyFont="1" applyFill="1" applyBorder="1" applyAlignment="1" applyProtection="1">
      <alignment horizontal="right" vertical="center"/>
    </xf>
    <xf numFmtId="0" fontId="10" fillId="0" borderId="0" xfId="2" applyAlignment="1">
      <alignment horizontal="left" vertical="top"/>
      <protection locked="0"/>
    </xf>
    <xf numFmtId="0" fontId="20" fillId="0" borderId="0" xfId="2" applyFont="1" applyAlignment="1" applyProtection="1">
      <alignment horizontal="left"/>
    </xf>
    <xf numFmtId="0" fontId="20" fillId="0" borderId="0" xfId="2" applyFont="1" applyAlignment="1" applyProtection="1">
      <alignment horizontal="left" vertical="center"/>
    </xf>
    <xf numFmtId="168" fontId="21" fillId="0" borderId="0" xfId="2" applyNumberFormat="1" applyFont="1" applyAlignment="1" applyProtection="1">
      <alignment horizontal="center" vertical="top"/>
    </xf>
    <xf numFmtId="0" fontId="22" fillId="0" borderId="0" xfId="2" applyFont="1" applyAlignment="1" applyProtection="1">
      <alignment horizontal="left" vertical="top" wrapText="1"/>
    </xf>
    <xf numFmtId="0" fontId="21" fillId="0" borderId="0" xfId="2" applyFont="1" applyAlignment="1" applyProtection="1">
      <alignment horizontal="left" vertical="top" wrapText="1"/>
    </xf>
    <xf numFmtId="169" fontId="3" fillId="0" borderId="0" xfId="2" applyNumberFormat="1" applyFont="1" applyAlignment="1" applyProtection="1">
      <alignment horizontal="right" vertical="top"/>
    </xf>
    <xf numFmtId="170" fontId="22" fillId="0" borderId="0" xfId="2" applyNumberFormat="1" applyFont="1" applyAlignment="1" applyProtection="1">
      <alignment horizontal="right" vertical="top"/>
    </xf>
    <xf numFmtId="169" fontId="22" fillId="0" borderId="0" xfId="2" applyNumberFormat="1" applyFont="1" applyAlignment="1" applyProtection="1">
      <alignment horizontal="right" vertical="top"/>
    </xf>
    <xf numFmtId="0" fontId="8" fillId="0" borderId="0" xfId="2" applyFont="1" applyAlignment="1" applyProtection="1">
      <alignment horizontal="left"/>
    </xf>
    <xf numFmtId="0" fontId="8" fillId="0" borderId="0" xfId="2" applyFont="1" applyAlignment="1" applyProtection="1">
      <alignment horizontal="left" vertical="top" wrapText="1"/>
    </xf>
    <xf numFmtId="169" fontId="8" fillId="0" borderId="0" xfId="2" applyNumberFormat="1" applyFont="1" applyAlignment="1" applyProtection="1">
      <alignment horizontal="right" vertical="top"/>
    </xf>
    <xf numFmtId="170" fontId="8" fillId="0" borderId="0" xfId="2" applyNumberFormat="1" applyFont="1" applyAlignment="1" applyProtection="1">
      <alignment horizontal="right" vertical="top"/>
    </xf>
    <xf numFmtId="0" fontId="22" fillId="0" borderId="0" xfId="2" applyFont="1" applyAlignment="1" applyProtection="1">
      <alignment horizontal="left"/>
    </xf>
    <xf numFmtId="0" fontId="23" fillId="4" borderId="55" xfId="2" applyFont="1" applyFill="1" applyBorder="1" applyAlignment="1" applyProtection="1">
      <alignment horizontal="center" vertical="center" wrapText="1"/>
    </xf>
    <xf numFmtId="168" fontId="24" fillId="0" borderId="0" xfId="2" applyNumberFormat="1" applyFont="1" applyAlignment="1">
      <alignment horizontal="center"/>
      <protection locked="0"/>
    </xf>
    <xf numFmtId="0" fontId="24" fillId="0" borderId="0" xfId="2" applyFont="1" applyAlignment="1">
      <alignment horizontal="left" wrapText="1"/>
      <protection locked="0"/>
    </xf>
    <xf numFmtId="169" fontId="24" fillId="0" borderId="0" xfId="2" applyNumberFormat="1" applyFont="1" applyAlignment="1">
      <alignment horizontal="right"/>
      <protection locked="0"/>
    </xf>
    <xf numFmtId="170" fontId="24" fillId="0" borderId="0" xfId="2" applyNumberFormat="1" applyFont="1" applyAlignment="1">
      <alignment horizontal="right"/>
      <protection locked="0"/>
    </xf>
    <xf numFmtId="168" fontId="25" fillId="0" borderId="0" xfId="2" applyNumberFormat="1" applyFont="1" applyAlignment="1">
      <alignment horizontal="center"/>
      <protection locked="0"/>
    </xf>
    <xf numFmtId="0" fontId="25" fillId="0" borderId="0" xfId="2" applyFont="1" applyAlignment="1">
      <alignment horizontal="left" wrapText="1"/>
      <protection locked="0"/>
    </xf>
    <xf numFmtId="169" fontId="25" fillId="0" borderId="0" xfId="2" applyNumberFormat="1" applyFont="1" applyAlignment="1">
      <alignment horizontal="right"/>
      <protection locked="0"/>
    </xf>
    <xf numFmtId="170" fontId="25" fillId="0" borderId="0" xfId="2" applyNumberFormat="1" applyFont="1" applyAlignment="1">
      <alignment horizontal="right"/>
      <protection locked="0"/>
    </xf>
    <xf numFmtId="168" fontId="3" fillId="0" borderId="55" xfId="2" applyNumberFormat="1" applyFont="1" applyBorder="1" applyAlignment="1">
      <alignment horizontal="center"/>
      <protection locked="0"/>
    </xf>
    <xf numFmtId="0" fontId="3" fillId="0" borderId="55" xfId="2" applyFont="1" applyBorder="1" applyAlignment="1">
      <alignment horizontal="left" wrapText="1"/>
      <protection locked="0"/>
    </xf>
    <xf numFmtId="169" fontId="3" fillId="0" borderId="55" xfId="2" applyNumberFormat="1" applyFont="1" applyBorder="1" applyAlignment="1">
      <alignment horizontal="right"/>
      <protection locked="0"/>
    </xf>
    <xf numFmtId="170" fontId="3" fillId="0" borderId="55" xfId="2" applyNumberFormat="1" applyFont="1" applyBorder="1" applyAlignment="1">
      <alignment horizontal="right"/>
      <protection locked="0"/>
    </xf>
    <xf numFmtId="168" fontId="26" fillId="0" borderId="55" xfId="2" applyNumberFormat="1" applyFont="1" applyBorder="1" applyAlignment="1">
      <alignment horizontal="center"/>
      <protection locked="0"/>
    </xf>
    <xf numFmtId="0" fontId="26" fillId="0" borderId="55" xfId="2" applyFont="1" applyBorder="1" applyAlignment="1">
      <alignment horizontal="left" wrapText="1"/>
      <protection locked="0"/>
    </xf>
    <xf numFmtId="169" fontId="26" fillId="0" borderId="55" xfId="2" applyNumberFormat="1" applyFont="1" applyBorder="1" applyAlignment="1">
      <alignment horizontal="right"/>
      <protection locked="0"/>
    </xf>
    <xf numFmtId="170" fontId="26" fillId="0" borderId="55" xfId="2" applyNumberFormat="1" applyFont="1" applyBorder="1" applyAlignment="1">
      <alignment horizontal="right"/>
      <protection locked="0"/>
    </xf>
    <xf numFmtId="170" fontId="27" fillId="0" borderId="55" xfId="2" applyNumberFormat="1" applyFont="1" applyBorder="1" applyAlignment="1">
      <alignment horizontal="right"/>
      <protection locked="0"/>
    </xf>
    <xf numFmtId="168" fontId="28" fillId="0" borderId="0" xfId="2" applyNumberFormat="1" applyFont="1" applyAlignment="1">
      <alignment horizontal="center"/>
      <protection locked="0"/>
    </xf>
    <xf numFmtId="0" fontId="28" fillId="0" borderId="0" xfId="2" applyFont="1" applyAlignment="1">
      <alignment horizontal="left" wrapText="1"/>
      <protection locked="0"/>
    </xf>
    <xf numFmtId="169" fontId="28" fillId="0" borderId="0" xfId="2" applyNumberFormat="1" applyFont="1" applyAlignment="1">
      <alignment horizontal="right"/>
      <protection locked="0"/>
    </xf>
    <xf numFmtId="170" fontId="28" fillId="0" borderId="0" xfId="2" applyNumberFormat="1" applyFont="1" applyAlignment="1">
      <alignment horizontal="right"/>
      <protection locked="0"/>
    </xf>
    <xf numFmtId="168" fontId="10" fillId="0" borderId="0" xfId="2" applyNumberFormat="1" applyAlignment="1">
      <alignment horizontal="center" vertical="top"/>
      <protection locked="0"/>
    </xf>
    <xf numFmtId="0" fontId="10" fillId="0" borderId="0" xfId="2" applyAlignment="1">
      <alignment horizontal="left" vertical="top" wrapText="1"/>
      <protection locked="0"/>
    </xf>
    <xf numFmtId="169" fontId="10" fillId="0" borderId="0" xfId="2" applyNumberFormat="1" applyAlignment="1">
      <alignment horizontal="right" vertical="top"/>
      <protection locked="0"/>
    </xf>
    <xf numFmtId="170" fontId="10" fillId="0" borderId="0" xfId="2" applyNumberFormat="1" applyAlignment="1">
      <alignment horizontal="right" vertical="top"/>
      <protection locked="0"/>
    </xf>
    <xf numFmtId="0" fontId="10" fillId="0" borderId="0" xfId="2" applyFont="1" applyAlignment="1">
      <alignment horizontal="left" vertical="top"/>
      <protection locked="0"/>
    </xf>
    <xf numFmtId="49" fontId="30" fillId="5" borderId="56" xfId="0" applyNumberFormat="1" applyFont="1" applyFill="1" applyBorder="1" applyAlignment="1">
      <alignment horizontal="left"/>
    </xf>
    <xf numFmtId="4" fontId="31" fillId="5" borderId="56" xfId="0" applyNumberFormat="1" applyFont="1" applyFill="1" applyBorder="1" applyAlignment="1">
      <alignment horizontal="left"/>
    </xf>
    <xf numFmtId="49" fontId="31" fillId="5" borderId="56" xfId="0" applyNumberFormat="1" applyFont="1" applyFill="1" applyBorder="1" applyAlignment="1">
      <alignment horizontal="left"/>
    </xf>
    <xf numFmtId="4" fontId="29" fillId="5" borderId="57" xfId="0" applyNumberFormat="1" applyFont="1" applyFill="1" applyBorder="1" applyAlignment="1">
      <alignment horizontal="left"/>
    </xf>
    <xf numFmtId="4" fontId="29" fillId="5" borderId="58" xfId="0" applyNumberFormat="1" applyFont="1" applyFill="1" applyBorder="1" applyAlignment="1">
      <alignment horizontal="left"/>
    </xf>
    <xf numFmtId="49" fontId="29" fillId="5" borderId="58" xfId="0" applyNumberFormat="1" applyFont="1" applyFill="1" applyBorder="1" applyAlignment="1">
      <alignment horizontal="left"/>
    </xf>
    <xf numFmtId="49" fontId="29" fillId="0" borderId="59" xfId="0" applyNumberFormat="1" applyFont="1" applyFill="1" applyBorder="1" applyAlignment="1">
      <alignment horizontal="left"/>
    </xf>
    <xf numFmtId="0" fontId="0" fillId="0" borderId="0" xfId="0" applyFont="1"/>
    <xf numFmtId="49" fontId="30" fillId="7" borderId="60" xfId="0" applyNumberFormat="1" applyFont="1" applyFill="1" applyBorder="1" applyAlignment="1">
      <alignment horizontal="left"/>
    </xf>
    <xf numFmtId="49" fontId="31" fillId="7" borderId="60" xfId="0" applyNumberFormat="1" applyFont="1" applyFill="1" applyBorder="1" applyAlignment="1">
      <alignment horizontal="left"/>
    </xf>
    <xf numFmtId="4" fontId="31" fillId="7" borderId="60" xfId="0" applyNumberFormat="1" applyFont="1" applyFill="1" applyBorder="1" applyAlignment="1">
      <alignment horizontal="right"/>
    </xf>
    <xf numFmtId="49" fontId="31" fillId="8" borderId="60" xfId="0" applyNumberFormat="1" applyFont="1" applyFill="1" applyBorder="1"/>
    <xf numFmtId="49" fontId="31" fillId="8" borderId="60" xfId="0" applyNumberFormat="1" applyFont="1" applyFill="1" applyBorder="1" applyAlignment="1">
      <alignment horizontal="left"/>
    </xf>
    <xf numFmtId="4" fontId="31" fillId="8" borderId="60" xfId="0" applyNumberFormat="1" applyFont="1" applyFill="1" applyBorder="1"/>
    <xf numFmtId="4" fontId="32" fillId="7" borderId="57" xfId="0" applyNumberFormat="1" applyFont="1" applyFill="1" applyBorder="1" applyAlignment="1">
      <alignment horizontal="right"/>
    </xf>
    <xf numFmtId="4" fontId="32" fillId="7" borderId="58" xfId="0" applyNumberFormat="1" applyFont="1" applyFill="1" applyBorder="1" applyAlignment="1">
      <alignment horizontal="right"/>
    </xf>
    <xf numFmtId="49" fontId="32" fillId="7" borderId="60" xfId="0" applyNumberFormat="1" applyFont="1" applyFill="1" applyBorder="1" applyAlignment="1">
      <alignment horizontal="left"/>
    </xf>
    <xf numFmtId="49" fontId="30" fillId="0" borderId="60" xfId="0" applyNumberFormat="1" applyFont="1" applyFill="1" applyBorder="1" applyAlignment="1">
      <alignment horizontal="left"/>
    </xf>
    <xf numFmtId="49" fontId="31" fillId="6" borderId="60" xfId="0" applyNumberFormat="1" applyFont="1" applyFill="1" applyBorder="1" applyAlignment="1">
      <alignment horizontal="left"/>
    </xf>
    <xf numFmtId="4" fontId="31" fillId="6" borderId="60" xfId="0" applyNumberFormat="1" applyFont="1" applyFill="1" applyBorder="1" applyAlignment="1">
      <alignment horizontal="right"/>
    </xf>
    <xf numFmtId="49" fontId="31" fillId="9" borderId="60" xfId="0" applyNumberFormat="1" applyFont="1" applyFill="1" applyBorder="1" applyAlignment="1">
      <alignment horizontal="left"/>
    </xf>
    <xf numFmtId="4" fontId="31" fillId="0" borderId="60" xfId="0" applyNumberFormat="1" applyFont="1" applyBorder="1"/>
    <xf numFmtId="49" fontId="32" fillId="7" borderId="0" xfId="0" applyNumberFormat="1" applyFont="1" applyFill="1" applyBorder="1" applyAlignment="1">
      <alignment horizontal="left"/>
    </xf>
    <xf numFmtId="49" fontId="31" fillId="0" borderId="60" xfId="0" applyNumberFormat="1" applyFont="1" applyFill="1" applyBorder="1" applyAlignment="1">
      <alignment horizontal="left"/>
    </xf>
    <xf numFmtId="49" fontId="31" fillId="6" borderId="60" xfId="0" applyNumberFormat="1" applyFont="1" applyFill="1" applyBorder="1" applyAlignment="1">
      <alignment horizontal="right"/>
    </xf>
    <xf numFmtId="2" fontId="31" fillId="6" borderId="60" xfId="0" applyNumberFormat="1" applyFont="1" applyFill="1" applyBorder="1" applyAlignment="1">
      <alignment horizontal="right"/>
    </xf>
    <xf numFmtId="2" fontId="31" fillId="0" borderId="60" xfId="0" applyNumberFormat="1" applyFont="1" applyBorder="1" applyAlignment="1">
      <alignment horizontal="right"/>
    </xf>
    <xf numFmtId="4" fontId="31" fillId="9" borderId="60" xfId="0" applyNumberFormat="1" applyFont="1" applyFill="1" applyBorder="1" applyAlignment="1">
      <alignment horizontal="right"/>
    </xf>
    <xf numFmtId="2" fontId="31" fillId="0" borderId="60" xfId="0" applyNumberFormat="1" applyFont="1" applyBorder="1"/>
    <xf numFmtId="4" fontId="29" fillId="6" borderId="57" xfId="0" applyNumberFormat="1" applyFont="1" applyFill="1" applyBorder="1" applyAlignment="1">
      <alignment horizontal="right"/>
    </xf>
    <xf numFmtId="4" fontId="29" fillId="6" borderId="58" xfId="0" applyNumberFormat="1" applyFont="1" applyFill="1" applyBorder="1" applyAlignment="1">
      <alignment horizontal="right"/>
    </xf>
    <xf numFmtId="49" fontId="29" fillId="6" borderId="58" xfId="0" applyNumberFormat="1" applyFont="1" applyFill="1" applyBorder="1" applyAlignment="1">
      <alignment horizontal="left"/>
    </xf>
    <xf numFmtId="49" fontId="30" fillId="9" borderId="60" xfId="0" applyNumberFormat="1" applyFont="1" applyFill="1" applyBorder="1" applyAlignment="1">
      <alignment horizontal="left"/>
    </xf>
    <xf numFmtId="49" fontId="31" fillId="10" borderId="60" xfId="0" applyNumberFormat="1" applyFont="1" applyFill="1" applyBorder="1" applyAlignment="1">
      <alignment horizontal="left"/>
    </xf>
    <xf numFmtId="49" fontId="30" fillId="6" borderId="60" xfId="0" applyNumberFormat="1" applyFont="1" applyFill="1" applyBorder="1" applyAlignment="1">
      <alignment horizontal="left"/>
    </xf>
    <xf numFmtId="2" fontId="31" fillId="0" borderId="60" xfId="0" applyNumberFormat="1" applyFont="1" applyFill="1" applyBorder="1" applyAlignment="1">
      <alignment horizontal="right"/>
    </xf>
    <xf numFmtId="4" fontId="30" fillId="9" borderId="58" xfId="0" applyNumberFormat="1" applyFont="1" applyFill="1" applyBorder="1" applyAlignment="1">
      <alignment horizontal="right"/>
    </xf>
    <xf numFmtId="4" fontId="30" fillId="6" borderId="60" xfId="0" applyNumberFormat="1" applyFont="1" applyFill="1" applyBorder="1" applyAlignment="1">
      <alignment horizontal="right"/>
    </xf>
    <xf numFmtId="4" fontId="31" fillId="0" borderId="60" xfId="0" applyNumberFormat="1" applyFont="1" applyFill="1" applyBorder="1" applyAlignment="1">
      <alignment horizontal="right"/>
    </xf>
    <xf numFmtId="49" fontId="31" fillId="0" borderId="60" xfId="0" applyNumberFormat="1" applyFont="1" applyFill="1" applyBorder="1"/>
    <xf numFmtId="4" fontId="31" fillId="0" borderId="60" xfId="0" applyNumberFormat="1" applyFont="1" applyFill="1" applyBorder="1"/>
    <xf numFmtId="49" fontId="31" fillId="6" borderId="0" xfId="0" applyNumberFormat="1" applyFont="1" applyFill="1" applyBorder="1" applyAlignment="1">
      <alignment horizontal="left"/>
    </xf>
    <xf numFmtId="4" fontId="31" fillId="6" borderId="0" xfId="0" applyNumberFormat="1" applyFont="1" applyFill="1" applyBorder="1" applyAlignment="1">
      <alignment horizontal="right"/>
    </xf>
    <xf numFmtId="2" fontId="31" fillId="0" borderId="0" xfId="0" applyNumberFormat="1" applyFont="1" applyBorder="1" applyAlignment="1">
      <alignment horizontal="right"/>
    </xf>
    <xf numFmtId="2" fontId="31" fillId="6" borderId="0" xfId="0" applyNumberFormat="1" applyFont="1" applyFill="1" applyBorder="1" applyAlignment="1">
      <alignment horizontal="right"/>
    </xf>
    <xf numFmtId="4" fontId="31" fillId="0" borderId="0" xfId="0" applyNumberFormat="1" applyFont="1" applyBorder="1"/>
    <xf numFmtId="0" fontId="31" fillId="0" borderId="0" xfId="0" applyFont="1"/>
    <xf numFmtId="49" fontId="30" fillId="6" borderId="60" xfId="0" applyNumberFormat="1" applyFont="1" applyFill="1" applyBorder="1" applyAlignment="1">
      <alignment horizontal="right"/>
    </xf>
    <xf numFmtId="49" fontId="29" fillId="6" borderId="0" xfId="0" applyNumberFormat="1" applyFont="1" applyFill="1" applyBorder="1" applyAlignment="1">
      <alignment horizontal="left"/>
    </xf>
    <xf numFmtId="4" fontId="34" fillId="9" borderId="57" xfId="0" applyNumberFormat="1" applyFont="1" applyFill="1" applyBorder="1" applyAlignment="1">
      <alignment horizontal="right"/>
    </xf>
    <xf numFmtId="4" fontId="34" fillId="9" borderId="58" xfId="0" applyNumberFormat="1" applyFont="1" applyFill="1" applyBorder="1" applyAlignment="1">
      <alignment horizontal="right"/>
    </xf>
    <xf numFmtId="49" fontId="34" fillId="9" borderId="60" xfId="0" applyNumberFormat="1" applyFont="1" applyFill="1" applyBorder="1" applyAlignment="1">
      <alignment horizontal="left"/>
    </xf>
    <xf numFmtId="4" fontId="35" fillId="7" borderId="57" xfId="0" applyNumberFormat="1" applyFont="1" applyFill="1" applyBorder="1" applyAlignment="1">
      <alignment horizontal="right"/>
    </xf>
    <xf numFmtId="4" fontId="35" fillId="7" borderId="58" xfId="0" applyNumberFormat="1" applyFont="1" applyFill="1" applyBorder="1" applyAlignment="1">
      <alignment horizontal="right"/>
    </xf>
    <xf numFmtId="49" fontId="35" fillId="7" borderId="58" xfId="0" applyNumberFormat="1" applyFont="1" applyFill="1" applyBorder="1" applyAlignment="1">
      <alignment horizontal="left"/>
    </xf>
    <xf numFmtId="49" fontId="31" fillId="0" borderId="0" xfId="0" applyNumberFormat="1" applyFont="1"/>
    <xf numFmtId="1" fontId="31" fillId="0" borderId="0" xfId="0" applyNumberFormat="1" applyFont="1"/>
    <xf numFmtId="4" fontId="31" fillId="0" borderId="0" xfId="0" applyNumberFormat="1" applyFont="1"/>
    <xf numFmtId="4" fontId="0" fillId="0" borderId="0" xfId="0" applyNumberFormat="1"/>
    <xf numFmtId="1" fontId="0" fillId="0" borderId="0" xfId="0" applyNumberFormat="1"/>
    <xf numFmtId="0" fontId="36" fillId="0" borderId="61" xfId="3" applyFont="1" applyBorder="1"/>
    <xf numFmtId="171" fontId="36" fillId="0" borderId="61" xfId="3" applyNumberFormat="1" applyFont="1" applyBorder="1" applyAlignment="1">
      <alignment wrapText="1"/>
    </xf>
    <xf numFmtId="0" fontId="37" fillId="0" borderId="61" xfId="3" applyFont="1" applyBorder="1"/>
    <xf numFmtId="0" fontId="37" fillId="0" borderId="0" xfId="3" applyFont="1"/>
    <xf numFmtId="0" fontId="38" fillId="0" borderId="61" xfId="3" applyFont="1" applyBorder="1" applyAlignment="1">
      <alignment horizontal="center"/>
    </xf>
    <xf numFmtId="0" fontId="37" fillId="0" borderId="61" xfId="3" applyFont="1" applyBorder="1" applyAlignment="1">
      <alignment horizontal="center"/>
    </xf>
    <xf numFmtId="0" fontId="37" fillId="0" borderId="61" xfId="3" applyFont="1" applyBorder="1" applyAlignment="1">
      <alignment horizontal="center" wrapText="1"/>
    </xf>
    <xf numFmtId="0" fontId="39" fillId="0" borderId="0" xfId="3" applyFont="1" applyAlignment="1">
      <alignment horizontal="center"/>
    </xf>
    <xf numFmtId="0" fontId="37" fillId="0" borderId="0" xfId="3" applyFont="1" applyAlignment="1">
      <alignment horizontal="center"/>
    </xf>
    <xf numFmtId="0" fontId="37" fillId="0" borderId="0" xfId="3" applyFont="1" applyAlignment="1">
      <alignment horizontal="center" wrapText="1"/>
    </xf>
    <xf numFmtId="0" fontId="39" fillId="0" borderId="0" xfId="3" applyFont="1" applyAlignment="1">
      <alignment wrapText="1"/>
    </xf>
    <xf numFmtId="0" fontId="37" fillId="0" borderId="61" xfId="3" applyFont="1" applyBorder="1" applyAlignment="1">
      <alignment wrapText="1"/>
    </xf>
    <xf numFmtId="0" fontId="37" fillId="0" borderId="61" xfId="3" applyFont="1" applyBorder="1" applyAlignment="1">
      <alignment horizontal="right"/>
    </xf>
    <xf numFmtId="0" fontId="37" fillId="0" borderId="0" xfId="3" applyFont="1" applyAlignment="1">
      <alignment wrapText="1"/>
    </xf>
    <xf numFmtId="172" fontId="37" fillId="0" borderId="0" xfId="3" applyNumberFormat="1" applyFont="1"/>
    <xf numFmtId="0" fontId="37" fillId="0" borderId="62" xfId="3" applyNumberFormat="1" applyFont="1" applyBorder="1"/>
    <xf numFmtId="0" fontId="40" fillId="0" borderId="62" xfId="3" applyFont="1" applyBorder="1" applyAlignment="1">
      <alignment wrapText="1"/>
    </xf>
    <xf numFmtId="0" fontId="41" fillId="0" borderId="62" xfId="3" applyNumberFormat="1" applyFont="1" applyBorder="1"/>
    <xf numFmtId="172" fontId="40" fillId="0" borderId="62" xfId="3" applyNumberFormat="1" applyFont="1" applyBorder="1"/>
    <xf numFmtId="0" fontId="37" fillId="0" borderId="0" xfId="3" applyFont="1" applyAlignment="1">
      <alignment horizontal="right"/>
    </xf>
    <xf numFmtId="0" fontId="42" fillId="0" borderId="0" xfId="3" applyFont="1" applyAlignment="1">
      <alignment wrapText="1"/>
    </xf>
    <xf numFmtId="0" fontId="1" fillId="0" borderId="0" xfId="3" applyFont="1"/>
    <xf numFmtId="172" fontId="42" fillId="0" borderId="0" xfId="3" applyNumberFormat="1" applyFont="1"/>
    <xf numFmtId="0" fontId="1" fillId="0" borderId="0" xfId="3" applyFont="1" applyAlignment="1">
      <alignment horizontal="right"/>
    </xf>
    <xf numFmtId="172" fontId="43" fillId="0" borderId="0" xfId="3" applyNumberFormat="1" applyFont="1"/>
    <xf numFmtId="0" fontId="37" fillId="0" borderId="0" xfId="3" applyFont="1" applyAlignment="1"/>
    <xf numFmtId="0" fontId="1" fillId="0" borderId="62" xfId="3" applyNumberFormat="1" applyFont="1" applyBorder="1"/>
    <xf numFmtId="0" fontId="1" fillId="0" borderId="0" xfId="3" applyFont="1" applyAlignment="1">
      <alignment wrapText="1"/>
    </xf>
    <xf numFmtId="172" fontId="37" fillId="0" borderId="0" xfId="3" applyNumberFormat="1" applyFont="1" applyAlignment="1">
      <alignment wrapText="1"/>
    </xf>
    <xf numFmtId="0" fontId="37" fillId="0" borderId="0" xfId="3" applyFont="1" applyBorder="1"/>
    <xf numFmtId="0" fontId="44" fillId="0" borderId="0" xfId="3" applyFont="1" applyBorder="1"/>
    <xf numFmtId="0" fontId="44" fillId="0" borderId="0" xfId="3" applyFont="1"/>
    <xf numFmtId="0" fontId="44" fillId="0" borderId="0" xfId="3" applyFont="1" applyAlignment="1">
      <alignment wrapText="1"/>
    </xf>
    <xf numFmtId="0" fontId="37" fillId="0" borderId="0" xfId="4" applyFont="1" applyProtection="1"/>
    <xf numFmtId="1" fontId="37" fillId="0" borderId="0" xfId="5" applyNumberFormat="1" applyFont="1" applyFill="1" applyBorder="1" applyAlignment="1" applyProtection="1"/>
    <xf numFmtId="0" fontId="43" fillId="0" borderId="0" xfId="4" applyFont="1" applyAlignment="1" applyProtection="1">
      <alignment wrapText="1"/>
    </xf>
    <xf numFmtId="0" fontId="37" fillId="0" borderId="0" xfId="6" applyFont="1" applyAlignment="1" applyProtection="1">
      <alignment wrapText="1"/>
    </xf>
    <xf numFmtId="172" fontId="43" fillId="0" borderId="0" xfId="3" applyNumberFormat="1" applyFont="1" applyAlignment="1">
      <alignment wrapText="1"/>
    </xf>
    <xf numFmtId="0" fontId="45" fillId="0" borderId="0" xfId="3" applyFont="1"/>
    <xf numFmtId="0" fontId="46" fillId="0" borderId="0" xfId="3" applyFont="1"/>
    <xf numFmtId="0" fontId="36" fillId="0" borderId="0" xfId="3" applyFont="1"/>
    <xf numFmtId="0" fontId="36" fillId="0" borderId="0" xfId="3" applyFont="1" applyAlignment="1">
      <alignment wrapText="1"/>
    </xf>
    <xf numFmtId="0" fontId="36" fillId="0" borderId="0" xfId="3" applyFont="1" applyAlignment="1">
      <alignment horizontal="right"/>
    </xf>
    <xf numFmtId="171" fontId="36" fillId="0" borderId="0" xfId="3" applyNumberFormat="1" applyFont="1"/>
    <xf numFmtId="49" fontId="0" fillId="0" borderId="32" xfId="0" applyNumberFormat="1" applyBorder="1" applyAlignment="1">
      <alignment vertical="top"/>
    </xf>
    <xf numFmtId="2" fontId="0" fillId="0" borderId="0" xfId="0" applyNumberFormat="1" applyAlignment="1">
      <alignment vertical="top"/>
    </xf>
    <xf numFmtId="2" fontId="0" fillId="2" borderId="29" xfId="0" applyNumberFormat="1" applyFill="1" applyBorder="1" applyAlignment="1">
      <alignment vertical="top"/>
    </xf>
    <xf numFmtId="4" fontId="0" fillId="2" borderId="63" xfId="0" applyNumberFormat="1" applyFill="1" applyBorder="1" applyAlignment="1">
      <alignment vertical="top"/>
    </xf>
    <xf numFmtId="2" fontId="0" fillId="2" borderId="10" xfId="0" applyNumberFormat="1" applyFill="1" applyBorder="1" applyAlignment="1">
      <alignment vertical="top"/>
    </xf>
    <xf numFmtId="2" fontId="3" fillId="0" borderId="15" xfId="0" applyNumberFormat="1" applyFont="1" applyBorder="1" applyAlignment="1">
      <alignment vertical="top" shrinkToFit="1"/>
    </xf>
    <xf numFmtId="4" fontId="3" fillId="0" borderId="64" xfId="0" applyNumberFormat="1" applyFont="1" applyBorder="1" applyAlignment="1">
      <alignment vertical="top" shrinkToFit="1"/>
    </xf>
    <xf numFmtId="0" fontId="3" fillId="0" borderId="0" xfId="0" applyFont="1" applyAlignment="1">
      <alignment vertical="top"/>
    </xf>
    <xf numFmtId="2" fontId="0" fillId="2" borderId="2" xfId="0" applyNumberFormat="1" applyFill="1" applyBorder="1" applyAlignment="1">
      <alignment vertical="top" shrinkToFit="1"/>
    </xf>
    <xf numFmtId="0" fontId="3" fillId="0" borderId="16" xfId="0" applyFont="1" applyBorder="1" applyAlignment="1">
      <alignment vertical="top"/>
    </xf>
    <xf numFmtId="0" fontId="3" fillId="0" borderId="14" xfId="0" applyNumberFormat="1" applyFont="1" applyBorder="1" applyAlignment="1">
      <alignment vertical="top"/>
    </xf>
    <xf numFmtId="2" fontId="0" fillId="0" borderId="0" xfId="0" applyNumberFormat="1"/>
    <xf numFmtId="4" fontId="0" fillId="0" borderId="0" xfId="0" applyNumberFormat="1" applyAlignment="1">
      <alignment vertical="top"/>
    </xf>
    <xf numFmtId="0" fontId="49" fillId="0" borderId="0" xfId="7" applyFont="1" applyAlignment="1">
      <alignment horizontal="left"/>
    </xf>
    <xf numFmtId="173" fontId="50" fillId="0" borderId="0" xfId="7" applyNumberFormat="1" applyFont="1"/>
    <xf numFmtId="0" fontId="48" fillId="0" borderId="0" xfId="7"/>
    <xf numFmtId="0" fontId="51" fillId="0" borderId="0" xfId="7" applyFont="1" applyAlignment="1">
      <alignment horizontal="left"/>
    </xf>
    <xf numFmtId="0" fontId="50" fillId="0" borderId="0" xfId="7" applyFont="1" applyAlignment="1">
      <alignment horizontal="left"/>
    </xf>
    <xf numFmtId="0" fontId="52" fillId="0" borderId="72" xfId="7" applyFont="1" applyBorder="1" applyAlignment="1">
      <alignment horizontal="left"/>
    </xf>
    <xf numFmtId="173" fontId="50" fillId="0" borderId="67" xfId="7" applyNumberFormat="1" applyFont="1" applyBorder="1"/>
    <xf numFmtId="0" fontId="53" fillId="0" borderId="73" xfId="7" applyFont="1" applyBorder="1" applyAlignment="1">
      <alignment horizontal="left"/>
    </xf>
    <xf numFmtId="173" fontId="50" fillId="0" borderId="74" xfId="7" applyNumberFormat="1" applyFont="1" applyBorder="1"/>
    <xf numFmtId="0" fontId="53" fillId="0" borderId="70" xfId="7" applyFont="1" applyBorder="1" applyAlignment="1">
      <alignment horizontal="left" indent="10"/>
    </xf>
    <xf numFmtId="173" fontId="50" fillId="0" borderId="68" xfId="7" applyNumberFormat="1" applyFont="1" applyBorder="1"/>
    <xf numFmtId="173" fontId="50" fillId="0" borderId="75" xfId="7" applyNumberFormat="1" applyFont="1" applyBorder="1"/>
    <xf numFmtId="0" fontId="52" fillId="0" borderId="69" xfId="7" applyFont="1" applyBorder="1" applyAlignment="1">
      <alignment horizontal="left"/>
    </xf>
    <xf numFmtId="173" fontId="54" fillId="0" borderId="74" xfId="7" applyNumberFormat="1" applyFont="1" applyBorder="1"/>
    <xf numFmtId="0" fontId="55" fillId="0" borderId="0" xfId="7" applyFont="1"/>
    <xf numFmtId="0" fontId="53" fillId="0" borderId="70" xfId="7" applyFont="1" applyBorder="1" applyAlignment="1">
      <alignment horizontal="left"/>
    </xf>
    <xf numFmtId="0" fontId="56" fillId="0" borderId="8" xfId="7" applyFont="1" applyBorder="1" applyAlignment="1">
      <alignment horizontal="left"/>
    </xf>
    <xf numFmtId="173" fontId="54" fillId="0" borderId="68" xfId="7" applyNumberFormat="1" applyFont="1" applyBorder="1"/>
    <xf numFmtId="0" fontId="54" fillId="0" borderId="8" xfId="7" applyFont="1" applyBorder="1" applyAlignment="1">
      <alignment horizontal="left"/>
    </xf>
    <xf numFmtId="0" fontId="55" fillId="0" borderId="0" xfId="7" applyFont="1" applyAlignment="1">
      <alignment horizontal="left" indent="2"/>
    </xf>
    <xf numFmtId="0" fontId="53" fillId="0" borderId="69" xfId="7" applyFont="1" applyBorder="1" applyAlignment="1"/>
    <xf numFmtId="0" fontId="52" fillId="0" borderId="3" xfId="7" applyFont="1" applyBorder="1" applyAlignment="1"/>
    <xf numFmtId="173" fontId="50" fillId="0" borderId="64" xfId="7" applyNumberFormat="1" applyFont="1" applyBorder="1"/>
    <xf numFmtId="0" fontId="52" fillId="0" borderId="71" xfId="7" applyFont="1" applyBorder="1" applyAlignment="1">
      <alignment horizontal="left"/>
    </xf>
    <xf numFmtId="173" fontId="54" fillId="0" borderId="76" xfId="7" applyNumberFormat="1" applyFont="1" applyBorder="1"/>
    <xf numFmtId="0" fontId="53" fillId="0" borderId="6" xfId="7" applyFont="1" applyBorder="1" applyAlignment="1"/>
    <xf numFmtId="173" fontId="54" fillId="0" borderId="67" xfId="7" applyNumberFormat="1" applyFont="1" applyBorder="1"/>
    <xf numFmtId="0" fontId="52" fillId="0" borderId="8" xfId="7" applyFont="1" applyBorder="1" applyAlignment="1"/>
    <xf numFmtId="0" fontId="52" fillId="0" borderId="69" xfId="7" applyFont="1" applyBorder="1" applyAlignment="1"/>
    <xf numFmtId="0" fontId="53" fillId="0" borderId="3" xfId="7" applyFont="1" applyBorder="1" applyAlignment="1"/>
    <xf numFmtId="173" fontId="51" fillId="0" borderId="76" xfId="7" applyNumberFormat="1" applyFont="1" applyBorder="1"/>
    <xf numFmtId="173" fontId="50" fillId="0" borderId="74" xfId="7" applyNumberFormat="1" applyFont="1" applyBorder="1" applyAlignment="1">
      <alignment horizontal="right"/>
    </xf>
    <xf numFmtId="49" fontId="13" fillId="0" borderId="42" xfId="1" applyNumberFormat="1" applyFont="1" applyFill="1" applyBorder="1" applyAlignment="1" applyProtection="1">
      <alignment horizontal="left" vertical="center" wrapText="1"/>
    </xf>
    <xf numFmtId="49" fontId="13" fillId="0" borderId="48" xfId="1" applyNumberFormat="1" applyFont="1" applyFill="1" applyBorder="1" applyAlignment="1" applyProtection="1">
      <alignment horizontal="left" vertical="center" wrapText="1"/>
    </xf>
    <xf numFmtId="4" fontId="28" fillId="0" borderId="0" xfId="3" applyNumberFormat="1" applyFont="1" applyFill="1"/>
    <xf numFmtId="0" fontId="26" fillId="0" borderId="77" xfId="0" applyFont="1" applyBorder="1" applyAlignment="1" applyProtection="1">
      <alignment horizontal="left" wrapText="1"/>
      <protection locked="0"/>
    </xf>
    <xf numFmtId="49" fontId="0" fillId="0" borderId="0" xfId="0" applyNumberFormat="1" applyAlignment="1">
      <alignment horizontal="center"/>
    </xf>
    <xf numFmtId="49" fontId="29" fillId="5" borderId="56" xfId="0" applyNumberFormat="1" applyFont="1" applyFill="1" applyBorder="1" applyAlignment="1">
      <alignment horizontal="center"/>
    </xf>
    <xf numFmtId="1" fontId="29" fillId="6" borderId="60" xfId="0" applyNumberFormat="1" applyFont="1" applyFill="1" applyBorder="1" applyAlignment="1">
      <alignment horizontal="center"/>
    </xf>
    <xf numFmtId="1" fontId="33" fillId="6" borderId="60" xfId="0" applyNumberFormat="1" applyFont="1" applyFill="1" applyBorder="1" applyAlignment="1">
      <alignment horizontal="center"/>
    </xf>
    <xf numFmtId="49" fontId="47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19" xfId="0" applyNumberFormat="1" applyBorder="1" applyAlignment="1">
      <alignment vertical="top" shrinkToFit="1"/>
    </xf>
    <xf numFmtId="49" fontId="0" fillId="0" borderId="20" xfId="0" applyNumberFormat="1" applyBorder="1" applyAlignment="1">
      <alignment vertical="top" shrinkToFit="1"/>
    </xf>
    <xf numFmtId="49" fontId="0" fillId="0" borderId="1" xfId="0" applyNumberFormat="1" applyBorder="1" applyAlignment="1">
      <alignment vertical="top" shrinkToFit="1"/>
    </xf>
    <xf numFmtId="49" fontId="0" fillId="0" borderId="22" xfId="0" applyNumberFormat="1" applyBorder="1" applyAlignment="1">
      <alignment vertical="top" shrinkToFit="1"/>
    </xf>
    <xf numFmtId="49" fontId="0" fillId="0" borderId="24" xfId="0" applyNumberFormat="1" applyBorder="1" applyAlignment="1">
      <alignment vertical="top" shrinkToFit="1"/>
    </xf>
    <xf numFmtId="49" fontId="0" fillId="0" borderId="25" xfId="0" applyNumberFormat="1" applyBorder="1" applyAlignment="1">
      <alignment vertical="top" shrinkToFit="1"/>
    </xf>
    <xf numFmtId="0" fontId="4" fillId="0" borderId="5" xfId="0" applyNumberFormat="1" applyFont="1" applyBorder="1" applyAlignment="1">
      <alignment horizontal="left" vertical="top" wrapText="1"/>
    </xf>
    <xf numFmtId="0" fontId="4" fillId="0" borderId="0" xfId="0" applyNumberFormat="1" applyFont="1" applyBorder="1" applyAlignment="1">
      <alignment vertical="top" wrapText="1" shrinkToFit="1"/>
    </xf>
    <xf numFmtId="164" fontId="4" fillId="0" borderId="0" xfId="0" applyNumberFormat="1" applyFont="1" applyBorder="1" applyAlignment="1">
      <alignment vertical="top" wrapText="1" shrinkToFit="1"/>
    </xf>
    <xf numFmtId="4" fontId="4" fillId="0" borderId="0" xfId="0" applyNumberFormat="1" applyFont="1" applyBorder="1" applyAlignment="1">
      <alignment vertical="top" wrapText="1" shrinkToFit="1"/>
    </xf>
    <xf numFmtId="4" fontId="0" fillId="2" borderId="31" xfId="0" applyNumberFormat="1" applyFill="1" applyBorder="1" applyAlignment="1">
      <alignment vertical="top" shrinkToFit="1"/>
    </xf>
    <xf numFmtId="4" fontId="0" fillId="2" borderId="7" xfId="0" applyNumberFormat="1" applyFill="1" applyBorder="1" applyAlignment="1">
      <alignment vertical="top" shrinkToFit="1"/>
    </xf>
    <xf numFmtId="49" fontId="0" fillId="0" borderId="19" xfId="0" applyNumberFormat="1" applyBorder="1" applyAlignment="1">
      <alignment vertical="top" wrapText="1" shrinkToFit="1"/>
    </xf>
    <xf numFmtId="49" fontId="0" fillId="0" borderId="32" xfId="0" applyNumberFormat="1" applyBorder="1" applyAlignment="1">
      <alignment vertical="top" wrapText="1" shrinkToFit="1"/>
    </xf>
    <xf numFmtId="49" fontId="0" fillId="0" borderId="32" xfId="0" applyNumberFormat="1" applyBorder="1" applyAlignment="1">
      <alignment vertical="top" shrinkToFit="1"/>
    </xf>
    <xf numFmtId="49" fontId="0" fillId="2" borderId="24" xfId="0" applyNumberFormat="1" applyFill="1" applyBorder="1" applyAlignment="1">
      <alignment vertical="top" wrapText="1" shrinkToFit="1"/>
    </xf>
    <xf numFmtId="49" fontId="0" fillId="2" borderId="24" xfId="0" applyNumberFormat="1" applyFill="1" applyBorder="1" applyAlignment="1">
      <alignment vertical="top" shrinkToFit="1"/>
    </xf>
    <xf numFmtId="4" fontId="0" fillId="2" borderId="13" xfId="0" applyNumberFormat="1" applyFill="1" applyBorder="1" applyAlignment="1">
      <alignment vertical="top"/>
    </xf>
    <xf numFmtId="4" fontId="0" fillId="2" borderId="9" xfId="0" applyNumberFormat="1" applyFill="1" applyBorder="1" applyAlignment="1">
      <alignment vertical="top"/>
    </xf>
    <xf numFmtId="0" fontId="12" fillId="0" borderId="0" xfId="1" applyNumberFormat="1" applyFont="1" applyFill="1" applyBorder="1" applyAlignment="1" applyProtection="1">
      <alignment horizontal="left" vertical="center" wrapText="1"/>
    </xf>
    <xf numFmtId="0" fontId="12" fillId="0" borderId="0" xfId="1" applyNumberFormat="1" applyFont="1" applyFill="1" applyBorder="1" applyAlignment="1" applyProtection="1">
      <alignment horizontal="left" vertical="center"/>
    </xf>
    <xf numFmtId="0" fontId="12" fillId="0" borderId="4" xfId="1" applyNumberFormat="1" applyFont="1" applyFill="1" applyBorder="1" applyAlignment="1" applyProtection="1">
      <alignment horizontal="left" vertical="center"/>
    </xf>
    <xf numFmtId="49" fontId="11" fillId="0" borderId="35" xfId="1" applyNumberFormat="1" applyFont="1" applyFill="1" applyBorder="1" applyAlignment="1" applyProtection="1">
      <alignment horizontal="center"/>
    </xf>
    <xf numFmtId="0" fontId="11" fillId="0" borderId="35" xfId="1" applyNumberFormat="1" applyFont="1" applyFill="1" applyBorder="1" applyAlignment="1" applyProtection="1">
      <alignment horizontal="center" vertical="center"/>
    </xf>
    <xf numFmtId="0" fontId="12" fillId="0" borderId="37" xfId="1" applyNumberFormat="1" applyFont="1" applyFill="1" applyBorder="1" applyAlignment="1" applyProtection="1">
      <alignment horizontal="left" vertical="center" wrapText="1"/>
    </xf>
    <xf numFmtId="0" fontId="12" fillId="0" borderId="38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horizontal="left" vertical="center"/>
    </xf>
    <xf numFmtId="0" fontId="13" fillId="0" borderId="38" xfId="1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center"/>
    </xf>
    <xf numFmtId="49" fontId="12" fillId="0" borderId="38" xfId="1" applyNumberFormat="1" applyFont="1" applyFill="1" applyBorder="1" applyAlignment="1" applyProtection="1">
      <alignment horizontal="left" vertical="center"/>
    </xf>
    <xf numFmtId="0" fontId="12" fillId="0" borderId="38" xfId="1" applyNumberFormat="1" applyFont="1" applyFill="1" applyBorder="1" applyAlignment="1" applyProtection="1">
      <alignment horizontal="left" vertical="center" wrapText="1"/>
    </xf>
    <xf numFmtId="0" fontId="12" fillId="0" borderId="39" xfId="1" applyNumberFormat="1" applyFont="1" applyFill="1" applyBorder="1" applyAlignment="1" applyProtection="1">
      <alignment horizontal="left" vertical="center"/>
    </xf>
    <xf numFmtId="0" fontId="12" fillId="0" borderId="5" xfId="1" applyNumberFormat="1" applyFont="1" applyFill="1" applyBorder="1" applyAlignment="1" applyProtection="1">
      <alignment horizontal="left" vertical="center" wrapText="1"/>
    </xf>
    <xf numFmtId="49" fontId="12" fillId="0" borderId="0" xfId="1" applyNumberFormat="1" applyFont="1" applyFill="1" applyBorder="1" applyAlignment="1" applyProtection="1">
      <alignment horizontal="left" vertical="center"/>
    </xf>
    <xf numFmtId="14" fontId="12" fillId="0" borderId="0" xfId="1" applyNumberFormat="1" applyFont="1" applyFill="1" applyBorder="1" applyAlignment="1" applyProtection="1">
      <alignment horizontal="left" vertical="center"/>
    </xf>
    <xf numFmtId="0" fontId="12" fillId="0" borderId="17" xfId="1" applyNumberFormat="1" applyFont="1" applyFill="1" applyBorder="1" applyAlignment="1" applyProtection="1">
      <alignment horizontal="left" vertical="center"/>
    </xf>
    <xf numFmtId="0" fontId="12" fillId="0" borderId="40" xfId="1" applyNumberFormat="1" applyFont="1" applyFill="1" applyBorder="1" applyAlignment="1" applyProtection="1">
      <alignment horizontal="left" vertical="center"/>
    </xf>
    <xf numFmtId="0" fontId="12" fillId="0" borderId="14" xfId="1" applyNumberFormat="1" applyFont="1" applyFill="1" applyBorder="1" applyAlignment="1" applyProtection="1">
      <alignment horizontal="left" vertical="center"/>
    </xf>
    <xf numFmtId="49" fontId="13" fillId="0" borderId="6" xfId="1" applyNumberFormat="1" applyFont="1" applyFill="1" applyBorder="1" applyAlignment="1" applyProtection="1">
      <alignment horizontal="center" vertical="center"/>
    </xf>
    <xf numFmtId="0" fontId="13" fillId="0" borderId="44" xfId="1" applyNumberFormat="1" applyFont="1" applyFill="1" applyBorder="1" applyAlignment="1" applyProtection="1">
      <alignment horizontal="center" vertical="center"/>
    </xf>
    <xf numFmtId="0" fontId="13" fillId="0" borderId="45" xfId="1" applyNumberFormat="1" applyFont="1" applyFill="1" applyBorder="1" applyAlignment="1" applyProtection="1">
      <alignment horizontal="center" vertical="center"/>
    </xf>
    <xf numFmtId="49" fontId="14" fillId="3" borderId="0" xfId="1" applyNumberFormat="1" applyFont="1" applyFill="1" applyBorder="1" applyAlignment="1" applyProtection="1">
      <alignment horizontal="left" vertical="center" wrapText="1"/>
    </xf>
    <xf numFmtId="0" fontId="14" fillId="3" borderId="0" xfId="1" applyNumberFormat="1" applyFont="1" applyFill="1" applyBorder="1" applyAlignment="1" applyProtection="1">
      <alignment horizontal="left" vertical="center" wrapText="1"/>
    </xf>
    <xf numFmtId="49" fontId="13" fillId="0" borderId="38" xfId="1" applyNumberFormat="1" applyFont="1" applyFill="1" applyBorder="1" applyAlignment="1" applyProtection="1">
      <alignment horizontal="left" vertical="center"/>
    </xf>
    <xf numFmtId="0" fontId="13" fillId="0" borderId="38" xfId="1" applyNumberFormat="1" applyFont="1" applyFill="1" applyBorder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left" vertical="center" wrapText="1"/>
    </xf>
    <xf numFmtId="0" fontId="12" fillId="0" borderId="17" xfId="1" applyNumberFormat="1" applyFont="1" applyFill="1" applyBorder="1" applyAlignment="1" applyProtection="1">
      <alignment horizontal="left" vertical="center" wrapText="1"/>
    </xf>
    <xf numFmtId="49" fontId="14" fillId="3" borderId="54" xfId="1" applyNumberFormat="1" applyFont="1" applyFill="1" applyBorder="1" applyAlignment="1" applyProtection="1">
      <alignment horizontal="left" vertical="center"/>
    </xf>
    <xf numFmtId="0" fontId="14" fillId="3" borderId="54" xfId="1" applyNumberFormat="1" applyFont="1" applyFill="1" applyBorder="1" applyAlignment="1" applyProtection="1">
      <alignment horizontal="left" vertical="center"/>
    </xf>
    <xf numFmtId="49" fontId="14" fillId="3" borderId="0" xfId="1" applyNumberFormat="1" applyFont="1" applyFill="1" applyBorder="1" applyAlignment="1" applyProtection="1">
      <alignment horizontal="left" vertical="center"/>
    </xf>
    <xf numFmtId="0" fontId="14" fillId="3" borderId="0" xfId="1" applyNumberFormat="1" applyFont="1" applyFill="1" applyBorder="1" applyAlignment="1" applyProtection="1">
      <alignment horizontal="left" vertical="center"/>
    </xf>
    <xf numFmtId="0" fontId="19" fillId="0" borderId="0" xfId="2" applyFont="1" applyAlignment="1" applyProtection="1">
      <alignment horizontal="center" vertical="center"/>
    </xf>
    <xf numFmtId="0" fontId="38" fillId="0" borderId="0" xfId="3" applyFont="1" applyBorder="1" applyAlignment="1">
      <alignment horizontal="center"/>
    </xf>
    <xf numFmtId="0" fontId="39" fillId="0" borderId="0" xfId="3" applyFont="1" applyBorder="1" applyAlignment="1">
      <alignment horizontal="center"/>
    </xf>
    <xf numFmtId="4" fontId="0" fillId="2" borderId="66" xfId="0" applyNumberFormat="1" applyFill="1" applyBorder="1" applyAlignment="1">
      <alignment vertical="top" shrinkToFit="1"/>
    </xf>
    <xf numFmtId="49" fontId="0" fillId="2" borderId="25" xfId="0" applyNumberFormat="1" applyFill="1" applyBorder="1" applyAlignment="1">
      <alignment vertical="top" shrinkToFit="1"/>
    </xf>
    <xf numFmtId="4" fontId="0" fillId="2" borderId="45" xfId="0" applyNumberFormat="1" applyFill="1" applyBorder="1" applyAlignment="1">
      <alignment vertical="top"/>
    </xf>
    <xf numFmtId="4" fontId="4" fillId="0" borderId="65" xfId="0" applyNumberFormat="1" applyFont="1" applyBorder="1" applyAlignment="1">
      <alignment vertical="top" wrapText="1" shrinkToFit="1"/>
    </xf>
    <xf numFmtId="0" fontId="4" fillId="0" borderId="14" xfId="0" applyNumberFormat="1" applyFont="1" applyBorder="1" applyAlignment="1">
      <alignment horizontal="left" vertical="top" wrapText="1"/>
    </xf>
    <xf numFmtId="0" fontId="4" fillId="0" borderId="17" xfId="0" applyNumberFormat="1" applyFont="1" applyBorder="1" applyAlignment="1">
      <alignment vertical="top" wrapText="1" shrinkToFit="1"/>
    </xf>
    <xf numFmtId="164" fontId="4" fillId="0" borderId="17" xfId="0" applyNumberFormat="1" applyFont="1" applyBorder="1" applyAlignment="1">
      <alignment vertical="top" wrapText="1" shrinkToFit="1"/>
    </xf>
    <xf numFmtId="4" fontId="4" fillId="0" borderId="17" xfId="0" applyNumberFormat="1" applyFont="1" applyBorder="1" applyAlignment="1">
      <alignment vertical="top" wrapText="1" shrinkToFit="1"/>
    </xf>
    <xf numFmtId="4" fontId="4" fillId="0" borderId="28" xfId="0" applyNumberFormat="1" applyFont="1" applyBorder="1" applyAlignment="1">
      <alignment vertical="top" wrapText="1" shrinkToFit="1"/>
    </xf>
    <xf numFmtId="0" fontId="4" fillId="0" borderId="0" xfId="0" applyNumberFormat="1" applyFont="1" applyBorder="1" applyAlignment="1">
      <alignment horizontal="left" vertical="top" wrapText="1"/>
    </xf>
    <xf numFmtId="0" fontId="4" fillId="0" borderId="4" xfId="0" applyNumberFormat="1" applyFont="1" applyBorder="1" applyAlignment="1">
      <alignment horizontal="left" vertical="top" wrapText="1"/>
    </xf>
    <xf numFmtId="49" fontId="0" fillId="2" borderId="34" xfId="0" applyNumberFormat="1" applyFill="1" applyBorder="1" applyAlignment="1">
      <alignment vertical="top" wrapText="1" shrinkToFit="1"/>
    </xf>
    <xf numFmtId="49" fontId="0" fillId="0" borderId="33" xfId="0" applyNumberFormat="1" applyBorder="1" applyAlignment="1">
      <alignment vertical="top" wrapText="1" shrinkToFit="1"/>
    </xf>
    <xf numFmtId="49" fontId="0" fillId="0" borderId="20" xfId="0" applyNumberFormat="1" applyBorder="1" applyAlignment="1">
      <alignment vertical="top" wrapText="1" shrinkToFit="1"/>
    </xf>
    <xf numFmtId="0" fontId="2" fillId="0" borderId="78" xfId="0" applyFont="1" applyBorder="1" applyAlignment="1">
      <alignment horizontal="center" vertical="top"/>
    </xf>
  </cellXfs>
  <cellStyles count="8">
    <cellStyle name="měny 2" xfId="5"/>
    <cellStyle name="normální" xfId="0" builtinId="0"/>
    <cellStyle name="Normální 2" xfId="1"/>
    <cellStyle name="normální 2 2" xfId="4"/>
    <cellStyle name="Normální 3" xfId="2"/>
    <cellStyle name="Normální 4" xfId="3"/>
    <cellStyle name="normální 5" xfId="7"/>
    <cellStyle name="normální_List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ozpo&#269;et/D.1.4.5-R%20Rozpo&#269;e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Soupis_elektroinstalac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VON%20-%20Soupis%20prac&#237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ist1"/>
      <sheetName val="List2"/>
      <sheetName val="List3"/>
    </sheet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zorPolozky"/>
      <sheetName val="D.1.4.4"/>
      <sheetName val="D.1.4.5"/>
    </sheetNames>
    <sheetDataSet>
      <sheetData sheetId="0" refreshError="1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  <sheetName val="Položky"/>
    </sheetNames>
    <sheetDataSet>
      <sheetData sheetId="0">
        <row r="2">
          <cell r="D2" t="str">
            <v>Vedlejší a ostatní náklady</v>
          </cell>
        </row>
        <row r="5">
          <cell r="C5" t="str">
            <v>Přístavba základní školy Katov</v>
          </cell>
        </row>
        <row r="7">
          <cell r="C7" t="str">
            <v>Škola Katov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9966"/>
  </sheetPr>
  <dimension ref="A1:G7"/>
  <sheetViews>
    <sheetView workbookViewId="0">
      <selection sqref="A1:J50"/>
    </sheetView>
  </sheetViews>
  <sheetFormatPr defaultColWidth="9.140625" defaultRowHeight="12.75"/>
  <cols>
    <col min="1" max="1" width="4.28515625" style="1" customWidth="1"/>
    <col min="2" max="2" width="14.42578125" style="1" customWidth="1"/>
    <col min="3" max="3" width="38.28515625" style="2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6.5" thickBot="1">
      <c r="A1" s="318" t="s">
        <v>0</v>
      </c>
      <c r="B1" s="318"/>
      <c r="C1" s="319"/>
      <c r="D1" s="318"/>
      <c r="E1" s="318"/>
      <c r="F1" s="318"/>
      <c r="G1" s="318"/>
    </row>
    <row r="2" spans="1:7" ht="13.5" thickTop="1">
      <c r="A2" s="2" t="s">
        <v>1</v>
      </c>
      <c r="B2" s="3"/>
      <c r="C2" s="320"/>
      <c r="D2" s="320"/>
      <c r="E2" s="320"/>
      <c r="F2" s="320"/>
      <c r="G2" s="321"/>
    </row>
    <row r="3" spans="1:7">
      <c r="A3" s="4" t="s">
        <v>2</v>
      </c>
      <c r="B3" s="5"/>
      <c r="C3" s="322"/>
      <c r="D3" s="322"/>
      <c r="E3" s="322"/>
      <c r="F3" s="322"/>
      <c r="G3" s="323"/>
    </row>
    <row r="4" spans="1:7" ht="13.5" thickBot="1">
      <c r="A4" s="6" t="s">
        <v>3</v>
      </c>
      <c r="B4" s="7"/>
      <c r="C4" s="324"/>
      <c r="D4" s="324"/>
      <c r="E4" s="324"/>
      <c r="F4" s="324"/>
      <c r="G4" s="325"/>
    </row>
    <row r="5" spans="1:7" ht="14.25" thickTop="1" thickBot="1">
      <c r="B5" s="8"/>
      <c r="C5" s="9"/>
      <c r="D5" s="10"/>
    </row>
    <row r="6" spans="1:7" ht="13.5" thickBot="1">
      <c r="A6" s="11" t="s">
        <v>4</v>
      </c>
      <c r="B6" s="12" t="s">
        <v>5</v>
      </c>
      <c r="C6" s="13" t="s">
        <v>6</v>
      </c>
      <c r="D6" s="14" t="s">
        <v>7</v>
      </c>
      <c r="E6" s="15" t="s">
        <v>8</v>
      </c>
      <c r="F6" s="16" t="s">
        <v>9</v>
      </c>
      <c r="G6" s="17" t="s">
        <v>10</v>
      </c>
    </row>
    <row r="7" spans="1:7" ht="14.25" thickTop="1" thickBot="1">
      <c r="A7" s="18"/>
      <c r="B7" s="19"/>
      <c r="C7" s="20"/>
      <c r="D7" s="21"/>
      <c r="E7" s="22"/>
      <c r="F7" s="23"/>
      <c r="G7" s="24"/>
    </row>
  </sheetData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1"/>
  <headerFooter alignWithMargins="0">
    <oddFooter>&amp;L&amp;9Zpracováno programem &amp;"Arial CE,Tučné"BUILDpower S,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tabSelected="1" workbookViewId="0">
      <selection activeCell="G15" sqref="G15"/>
    </sheetView>
  </sheetViews>
  <sheetFormatPr defaultRowHeight="12.75"/>
  <cols>
    <col min="1" max="1" width="69.85546875" style="281" customWidth="1"/>
    <col min="2" max="2" width="17.28515625" style="278" customWidth="1"/>
    <col min="3" max="10" width="9.140625" style="279"/>
    <col min="11" max="11" width="9.140625" style="279" customWidth="1"/>
    <col min="12" max="256" width="9.140625" style="279"/>
    <col min="257" max="257" width="69.85546875" style="279" customWidth="1"/>
    <col min="258" max="258" width="17.28515625" style="279" customWidth="1"/>
    <col min="259" max="512" width="9.140625" style="279"/>
    <col min="513" max="513" width="69.85546875" style="279" customWidth="1"/>
    <col min="514" max="514" width="17.28515625" style="279" customWidth="1"/>
    <col min="515" max="768" width="9.140625" style="279"/>
    <col min="769" max="769" width="69.85546875" style="279" customWidth="1"/>
    <col min="770" max="770" width="17.28515625" style="279" customWidth="1"/>
    <col min="771" max="1024" width="9.140625" style="279"/>
    <col min="1025" max="1025" width="69.85546875" style="279" customWidth="1"/>
    <col min="1026" max="1026" width="17.28515625" style="279" customWidth="1"/>
    <col min="1027" max="1280" width="9.140625" style="279"/>
    <col min="1281" max="1281" width="69.85546875" style="279" customWidth="1"/>
    <col min="1282" max="1282" width="17.28515625" style="279" customWidth="1"/>
    <col min="1283" max="1536" width="9.140625" style="279"/>
    <col min="1537" max="1537" width="69.85546875" style="279" customWidth="1"/>
    <col min="1538" max="1538" width="17.28515625" style="279" customWidth="1"/>
    <col min="1539" max="1792" width="9.140625" style="279"/>
    <col min="1793" max="1793" width="69.85546875" style="279" customWidth="1"/>
    <col min="1794" max="1794" width="17.28515625" style="279" customWidth="1"/>
    <col min="1795" max="2048" width="9.140625" style="279"/>
    <col min="2049" max="2049" width="69.85546875" style="279" customWidth="1"/>
    <col min="2050" max="2050" width="17.28515625" style="279" customWidth="1"/>
    <col min="2051" max="2304" width="9.140625" style="279"/>
    <col min="2305" max="2305" width="69.85546875" style="279" customWidth="1"/>
    <col min="2306" max="2306" width="17.28515625" style="279" customWidth="1"/>
    <col min="2307" max="2560" width="9.140625" style="279"/>
    <col min="2561" max="2561" width="69.85546875" style="279" customWidth="1"/>
    <col min="2562" max="2562" width="17.28515625" style="279" customWidth="1"/>
    <col min="2563" max="2816" width="9.140625" style="279"/>
    <col min="2817" max="2817" width="69.85546875" style="279" customWidth="1"/>
    <col min="2818" max="2818" width="17.28515625" style="279" customWidth="1"/>
    <col min="2819" max="3072" width="9.140625" style="279"/>
    <col min="3073" max="3073" width="69.85546875" style="279" customWidth="1"/>
    <col min="3074" max="3074" width="17.28515625" style="279" customWidth="1"/>
    <col min="3075" max="3328" width="9.140625" style="279"/>
    <col min="3329" max="3329" width="69.85546875" style="279" customWidth="1"/>
    <col min="3330" max="3330" width="17.28515625" style="279" customWidth="1"/>
    <col min="3331" max="3584" width="9.140625" style="279"/>
    <col min="3585" max="3585" width="69.85546875" style="279" customWidth="1"/>
    <col min="3586" max="3586" width="17.28515625" style="279" customWidth="1"/>
    <col min="3587" max="3840" width="9.140625" style="279"/>
    <col min="3841" max="3841" width="69.85546875" style="279" customWidth="1"/>
    <col min="3842" max="3842" width="17.28515625" style="279" customWidth="1"/>
    <col min="3843" max="4096" width="9.140625" style="279"/>
    <col min="4097" max="4097" width="69.85546875" style="279" customWidth="1"/>
    <col min="4098" max="4098" width="17.28515625" style="279" customWidth="1"/>
    <col min="4099" max="4352" width="9.140625" style="279"/>
    <col min="4353" max="4353" width="69.85546875" style="279" customWidth="1"/>
    <col min="4354" max="4354" width="17.28515625" style="279" customWidth="1"/>
    <col min="4355" max="4608" width="9.140625" style="279"/>
    <col min="4609" max="4609" width="69.85546875" style="279" customWidth="1"/>
    <col min="4610" max="4610" width="17.28515625" style="279" customWidth="1"/>
    <col min="4611" max="4864" width="9.140625" style="279"/>
    <col min="4865" max="4865" width="69.85546875" style="279" customWidth="1"/>
    <col min="4866" max="4866" width="17.28515625" style="279" customWidth="1"/>
    <col min="4867" max="5120" width="9.140625" style="279"/>
    <col min="5121" max="5121" width="69.85546875" style="279" customWidth="1"/>
    <col min="5122" max="5122" width="17.28515625" style="279" customWidth="1"/>
    <col min="5123" max="5376" width="9.140625" style="279"/>
    <col min="5377" max="5377" width="69.85546875" style="279" customWidth="1"/>
    <col min="5378" max="5378" width="17.28515625" style="279" customWidth="1"/>
    <col min="5379" max="5632" width="9.140625" style="279"/>
    <col min="5633" max="5633" width="69.85546875" style="279" customWidth="1"/>
    <col min="5634" max="5634" width="17.28515625" style="279" customWidth="1"/>
    <col min="5635" max="5888" width="9.140625" style="279"/>
    <col min="5889" max="5889" width="69.85546875" style="279" customWidth="1"/>
    <col min="5890" max="5890" width="17.28515625" style="279" customWidth="1"/>
    <col min="5891" max="6144" width="9.140625" style="279"/>
    <col min="6145" max="6145" width="69.85546875" style="279" customWidth="1"/>
    <col min="6146" max="6146" width="17.28515625" style="279" customWidth="1"/>
    <col min="6147" max="6400" width="9.140625" style="279"/>
    <col min="6401" max="6401" width="69.85546875" style="279" customWidth="1"/>
    <col min="6402" max="6402" width="17.28515625" style="279" customWidth="1"/>
    <col min="6403" max="6656" width="9.140625" style="279"/>
    <col min="6657" max="6657" width="69.85546875" style="279" customWidth="1"/>
    <col min="6658" max="6658" width="17.28515625" style="279" customWidth="1"/>
    <col min="6659" max="6912" width="9.140625" style="279"/>
    <col min="6913" max="6913" width="69.85546875" style="279" customWidth="1"/>
    <col min="6914" max="6914" width="17.28515625" style="279" customWidth="1"/>
    <col min="6915" max="7168" width="9.140625" style="279"/>
    <col min="7169" max="7169" width="69.85546875" style="279" customWidth="1"/>
    <col min="7170" max="7170" width="17.28515625" style="279" customWidth="1"/>
    <col min="7171" max="7424" width="9.140625" style="279"/>
    <col min="7425" max="7425" width="69.85546875" style="279" customWidth="1"/>
    <col min="7426" max="7426" width="17.28515625" style="279" customWidth="1"/>
    <col min="7427" max="7680" width="9.140625" style="279"/>
    <col min="7681" max="7681" width="69.85546875" style="279" customWidth="1"/>
    <col min="7682" max="7682" width="17.28515625" style="279" customWidth="1"/>
    <col min="7683" max="7936" width="9.140625" style="279"/>
    <col min="7937" max="7937" width="69.85546875" style="279" customWidth="1"/>
    <col min="7938" max="7938" width="17.28515625" style="279" customWidth="1"/>
    <col min="7939" max="8192" width="9.140625" style="279"/>
    <col min="8193" max="8193" width="69.85546875" style="279" customWidth="1"/>
    <col min="8194" max="8194" width="17.28515625" style="279" customWidth="1"/>
    <col min="8195" max="8448" width="9.140625" style="279"/>
    <col min="8449" max="8449" width="69.85546875" style="279" customWidth="1"/>
    <col min="8450" max="8450" width="17.28515625" style="279" customWidth="1"/>
    <col min="8451" max="8704" width="9.140625" style="279"/>
    <col min="8705" max="8705" width="69.85546875" style="279" customWidth="1"/>
    <col min="8706" max="8706" width="17.28515625" style="279" customWidth="1"/>
    <col min="8707" max="8960" width="9.140625" style="279"/>
    <col min="8961" max="8961" width="69.85546875" style="279" customWidth="1"/>
    <col min="8962" max="8962" width="17.28515625" style="279" customWidth="1"/>
    <col min="8963" max="9216" width="9.140625" style="279"/>
    <col min="9217" max="9217" width="69.85546875" style="279" customWidth="1"/>
    <col min="9218" max="9218" width="17.28515625" style="279" customWidth="1"/>
    <col min="9219" max="9472" width="9.140625" style="279"/>
    <col min="9473" max="9473" width="69.85546875" style="279" customWidth="1"/>
    <col min="9474" max="9474" width="17.28515625" style="279" customWidth="1"/>
    <col min="9475" max="9728" width="9.140625" style="279"/>
    <col min="9729" max="9729" width="69.85546875" style="279" customWidth="1"/>
    <col min="9730" max="9730" width="17.28515625" style="279" customWidth="1"/>
    <col min="9731" max="9984" width="9.140625" style="279"/>
    <col min="9985" max="9985" width="69.85546875" style="279" customWidth="1"/>
    <col min="9986" max="9986" width="17.28515625" style="279" customWidth="1"/>
    <col min="9987" max="10240" width="9.140625" style="279"/>
    <col min="10241" max="10241" width="69.85546875" style="279" customWidth="1"/>
    <col min="10242" max="10242" width="17.28515625" style="279" customWidth="1"/>
    <col min="10243" max="10496" width="9.140625" style="279"/>
    <col min="10497" max="10497" width="69.85546875" style="279" customWidth="1"/>
    <col min="10498" max="10498" width="17.28515625" style="279" customWidth="1"/>
    <col min="10499" max="10752" width="9.140625" style="279"/>
    <col min="10753" max="10753" width="69.85546875" style="279" customWidth="1"/>
    <col min="10754" max="10754" width="17.28515625" style="279" customWidth="1"/>
    <col min="10755" max="11008" width="9.140625" style="279"/>
    <col min="11009" max="11009" width="69.85546875" style="279" customWidth="1"/>
    <col min="11010" max="11010" width="17.28515625" style="279" customWidth="1"/>
    <col min="11011" max="11264" width="9.140625" style="279"/>
    <col min="11265" max="11265" width="69.85546875" style="279" customWidth="1"/>
    <col min="11266" max="11266" width="17.28515625" style="279" customWidth="1"/>
    <col min="11267" max="11520" width="9.140625" style="279"/>
    <col min="11521" max="11521" width="69.85546875" style="279" customWidth="1"/>
    <col min="11522" max="11522" width="17.28515625" style="279" customWidth="1"/>
    <col min="11523" max="11776" width="9.140625" style="279"/>
    <col min="11777" max="11777" width="69.85546875" style="279" customWidth="1"/>
    <col min="11778" max="11778" width="17.28515625" style="279" customWidth="1"/>
    <col min="11779" max="12032" width="9.140625" style="279"/>
    <col min="12033" max="12033" width="69.85546875" style="279" customWidth="1"/>
    <col min="12034" max="12034" width="17.28515625" style="279" customWidth="1"/>
    <col min="12035" max="12288" width="9.140625" style="279"/>
    <col min="12289" max="12289" width="69.85546875" style="279" customWidth="1"/>
    <col min="12290" max="12290" width="17.28515625" style="279" customWidth="1"/>
    <col min="12291" max="12544" width="9.140625" style="279"/>
    <col min="12545" max="12545" width="69.85546875" style="279" customWidth="1"/>
    <col min="12546" max="12546" width="17.28515625" style="279" customWidth="1"/>
    <col min="12547" max="12800" width="9.140625" style="279"/>
    <col min="12801" max="12801" width="69.85546875" style="279" customWidth="1"/>
    <col min="12802" max="12802" width="17.28515625" style="279" customWidth="1"/>
    <col min="12803" max="13056" width="9.140625" style="279"/>
    <col min="13057" max="13057" width="69.85546875" style="279" customWidth="1"/>
    <col min="13058" max="13058" width="17.28515625" style="279" customWidth="1"/>
    <col min="13059" max="13312" width="9.140625" style="279"/>
    <col min="13313" max="13313" width="69.85546875" style="279" customWidth="1"/>
    <col min="13314" max="13314" width="17.28515625" style="279" customWidth="1"/>
    <col min="13315" max="13568" width="9.140625" style="279"/>
    <col min="13569" max="13569" width="69.85546875" style="279" customWidth="1"/>
    <col min="13570" max="13570" width="17.28515625" style="279" customWidth="1"/>
    <col min="13571" max="13824" width="9.140625" style="279"/>
    <col min="13825" max="13825" width="69.85546875" style="279" customWidth="1"/>
    <col min="13826" max="13826" width="17.28515625" style="279" customWidth="1"/>
    <col min="13827" max="14080" width="9.140625" style="279"/>
    <col min="14081" max="14081" width="69.85546875" style="279" customWidth="1"/>
    <col min="14082" max="14082" width="17.28515625" style="279" customWidth="1"/>
    <col min="14083" max="14336" width="9.140625" style="279"/>
    <col min="14337" max="14337" width="69.85546875" style="279" customWidth="1"/>
    <col min="14338" max="14338" width="17.28515625" style="279" customWidth="1"/>
    <col min="14339" max="14592" width="9.140625" style="279"/>
    <col min="14593" max="14593" width="69.85546875" style="279" customWidth="1"/>
    <col min="14594" max="14594" width="17.28515625" style="279" customWidth="1"/>
    <col min="14595" max="14848" width="9.140625" style="279"/>
    <col min="14849" max="14849" width="69.85546875" style="279" customWidth="1"/>
    <col min="14850" max="14850" width="17.28515625" style="279" customWidth="1"/>
    <col min="14851" max="15104" width="9.140625" style="279"/>
    <col min="15105" max="15105" width="69.85546875" style="279" customWidth="1"/>
    <col min="15106" max="15106" width="17.28515625" style="279" customWidth="1"/>
    <col min="15107" max="15360" width="9.140625" style="279"/>
    <col min="15361" max="15361" width="69.85546875" style="279" customWidth="1"/>
    <col min="15362" max="15362" width="17.28515625" style="279" customWidth="1"/>
    <col min="15363" max="15616" width="9.140625" style="279"/>
    <col min="15617" max="15617" width="69.85546875" style="279" customWidth="1"/>
    <col min="15618" max="15618" width="17.28515625" style="279" customWidth="1"/>
    <col min="15619" max="15872" width="9.140625" style="279"/>
    <col min="15873" max="15873" width="69.85546875" style="279" customWidth="1"/>
    <col min="15874" max="15874" width="17.28515625" style="279" customWidth="1"/>
    <col min="15875" max="16128" width="9.140625" style="279"/>
    <col min="16129" max="16129" width="69.85546875" style="279" customWidth="1"/>
    <col min="16130" max="16130" width="17.28515625" style="279" customWidth="1"/>
    <col min="16131" max="16384" width="9.140625" style="279"/>
  </cols>
  <sheetData>
    <row r="1" spans="1:2" ht="18">
      <c r="A1" s="277" t="s">
        <v>1744</v>
      </c>
    </row>
    <row r="2" spans="1:2" ht="15.75">
      <c r="A2" s="280" t="s">
        <v>14</v>
      </c>
    </row>
    <row r="3" spans="1:2" ht="13.5" thickBot="1"/>
    <row r="4" spans="1:2" ht="15">
      <c r="A4" s="282" t="s">
        <v>15</v>
      </c>
      <c r="B4" s="283"/>
    </row>
    <row r="5" spans="1:2" ht="14.25">
      <c r="A5" s="284" t="s">
        <v>1724</v>
      </c>
      <c r="B5" s="285"/>
    </row>
    <row r="6" spans="1:2" ht="14.25">
      <c r="A6" s="286" t="s">
        <v>1741</v>
      </c>
      <c r="B6" s="287">
        <f>D1.1!G613</f>
        <v>0</v>
      </c>
    </row>
    <row r="7" spans="1:2" ht="14.25">
      <c r="A7" s="286" t="s">
        <v>1738</v>
      </c>
      <c r="B7" s="287">
        <f>D.1.4.1!J132</f>
        <v>0</v>
      </c>
    </row>
    <row r="8" spans="1:2" ht="14.25">
      <c r="A8" s="286" t="s">
        <v>1739</v>
      </c>
      <c r="B8" s="288">
        <f>D.1.4.2!J54</f>
        <v>0</v>
      </c>
    </row>
    <row r="9" spans="1:2" ht="14.25">
      <c r="A9" s="286" t="s">
        <v>1740</v>
      </c>
      <c r="B9" s="288">
        <f>D.1.4.3!G103</f>
        <v>0</v>
      </c>
    </row>
    <row r="10" spans="1:2" ht="14.25">
      <c r="A10" s="286" t="s">
        <v>1742</v>
      </c>
      <c r="B10" s="288">
        <f>D.1.4.4!L151</f>
        <v>0</v>
      </c>
    </row>
    <row r="11" spans="1:2" ht="14.25">
      <c r="A11" s="286" t="s">
        <v>1743</v>
      </c>
      <c r="B11" s="288">
        <f>D.1.4.5!G172</f>
        <v>0</v>
      </c>
    </row>
    <row r="12" spans="1:2" ht="14.25">
      <c r="A12" s="286"/>
      <c r="B12" s="288"/>
    </row>
    <row r="13" spans="1:2" ht="14.25">
      <c r="A13" s="284" t="s">
        <v>1725</v>
      </c>
      <c r="B13" s="288">
        <f>B6+B7+B8+B9+B10+B11</f>
        <v>0</v>
      </c>
    </row>
    <row r="14" spans="1:2" ht="14.25">
      <c r="A14" s="286"/>
      <c r="B14" s="287"/>
    </row>
    <row r="15" spans="1:2" ht="14.25">
      <c r="A15" s="284" t="s">
        <v>1726</v>
      </c>
      <c r="B15" s="308" t="s">
        <v>1737</v>
      </c>
    </row>
    <row r="16" spans="1:2" ht="14.25">
      <c r="A16" s="286"/>
      <c r="B16" s="287"/>
    </row>
    <row r="17" spans="1:5" ht="15">
      <c r="A17" s="289" t="s">
        <v>1727</v>
      </c>
      <c r="B17" s="290">
        <f>B13</f>
        <v>0</v>
      </c>
      <c r="C17" s="291" t="s">
        <v>1728</v>
      </c>
    </row>
    <row r="18" spans="1:5" ht="14.25">
      <c r="A18" s="292" t="s">
        <v>1729</v>
      </c>
      <c r="B18" s="287"/>
    </row>
    <row r="19" spans="1:5" ht="18">
      <c r="A19" s="293" t="s">
        <v>1730</v>
      </c>
      <c r="B19" s="294"/>
    </row>
    <row r="20" spans="1:5" ht="15">
      <c r="A20" s="295" t="s">
        <v>1685</v>
      </c>
      <c r="B20" s="294">
        <f>VON!G33</f>
        <v>0</v>
      </c>
      <c r="E20" s="296"/>
    </row>
    <row r="21" spans="1:5" ht="14.25">
      <c r="A21" s="297"/>
      <c r="B21" s="285"/>
    </row>
    <row r="22" spans="1:5" ht="15.75" thickBot="1">
      <c r="A22" s="298"/>
      <c r="B22" s="299"/>
    </row>
    <row r="23" spans="1:5" ht="15.75" thickBot="1">
      <c r="A23" s="300" t="s">
        <v>1731</v>
      </c>
      <c r="B23" s="301">
        <f>B17+B20</f>
        <v>0</v>
      </c>
      <c r="D23" s="296"/>
    </row>
    <row r="24" spans="1:5" ht="15">
      <c r="A24" s="302"/>
      <c r="B24" s="303"/>
      <c r="D24" s="296"/>
    </row>
    <row r="25" spans="1:5" ht="15">
      <c r="A25" s="304" t="s">
        <v>1732</v>
      </c>
      <c r="B25" s="285"/>
    </row>
    <row r="26" spans="1:5" ht="14.25">
      <c r="A26" s="297" t="s">
        <v>1733</v>
      </c>
      <c r="B26" s="287">
        <f>B17*0.21</f>
        <v>0</v>
      </c>
    </row>
    <row r="27" spans="1:5" ht="15">
      <c r="A27" s="297" t="s">
        <v>1734</v>
      </c>
      <c r="B27" s="287">
        <f>B20*0.21</f>
        <v>0</v>
      </c>
      <c r="E27" s="296"/>
    </row>
    <row r="28" spans="1:5" ht="15">
      <c r="A28" s="305" t="s">
        <v>1735</v>
      </c>
      <c r="B28" s="294">
        <f>B26+B27</f>
        <v>0</v>
      </c>
      <c r="C28" s="296"/>
    </row>
    <row r="29" spans="1:5" ht="15.75" thickBot="1">
      <c r="A29" s="306"/>
      <c r="B29" s="299"/>
      <c r="D29" s="296"/>
    </row>
    <row r="30" spans="1:5" ht="16.5" thickBot="1">
      <c r="A30" s="300" t="s">
        <v>1736</v>
      </c>
      <c r="B30" s="307">
        <f>B23+B28</f>
        <v>0</v>
      </c>
      <c r="C30" s="296"/>
    </row>
    <row r="31" spans="1:5" ht="18" customHeight="1"/>
    <row r="32" spans="1:5" ht="21" customHeight="1"/>
  </sheetData>
  <pageMargins left="1.6929133858267718" right="0.27559055118110237" top="1.8503937007874016" bottom="0.59055118110236227" header="0.19685039370078741" footer="0.19685039370078741"/>
  <pageSetup paperSize="9" scale="8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AY618"/>
  <sheetViews>
    <sheetView showGridLines="0" zoomScale="94" zoomScaleNormal="94" workbookViewId="0">
      <selection activeCell="J5" sqref="J5"/>
    </sheetView>
  </sheetViews>
  <sheetFormatPr defaultRowHeight="12.75" outlineLevelRow="1"/>
  <cols>
    <col min="1" max="1" width="4.28515625" customWidth="1"/>
    <col min="2" max="2" width="12.85546875" style="29" bestFit="1" customWidth="1"/>
    <col min="3" max="3" width="38.28515625" style="29" customWidth="1"/>
    <col min="4" max="4" width="4.5703125" customWidth="1"/>
    <col min="5" max="5" width="10.5703125" style="59" customWidth="1"/>
    <col min="6" max="6" width="9.85546875" customWidth="1"/>
    <col min="7" max="7" width="14.140625" customWidth="1"/>
    <col min="12" max="22" width="0" hidden="1" customWidth="1"/>
    <col min="36" max="36" width="73.42578125" customWidth="1"/>
  </cols>
  <sheetData>
    <row r="1" spans="1:43" ht="16.5" thickBot="1">
      <c r="A1" s="388" t="s">
        <v>1753</v>
      </c>
      <c r="B1" s="388"/>
      <c r="C1" s="388"/>
      <c r="D1" s="388"/>
      <c r="E1" s="388"/>
      <c r="F1" s="388"/>
      <c r="G1" s="388"/>
    </row>
    <row r="2" spans="1:43" ht="13.5" thickTop="1">
      <c r="A2" s="2" t="s">
        <v>1</v>
      </c>
      <c r="B2" s="3" t="s">
        <v>11</v>
      </c>
      <c r="C2" s="332" t="s">
        <v>12</v>
      </c>
      <c r="D2" s="332"/>
      <c r="E2" s="332"/>
      <c r="F2" s="332"/>
      <c r="G2" s="387"/>
    </row>
    <row r="3" spans="1:43">
      <c r="A3" s="4" t="s">
        <v>2</v>
      </c>
      <c r="B3" s="5" t="s">
        <v>13</v>
      </c>
      <c r="C3" s="333" t="s">
        <v>14</v>
      </c>
      <c r="D3" s="333"/>
      <c r="E3" s="333"/>
      <c r="F3" s="333"/>
      <c r="G3" s="386"/>
    </row>
    <row r="4" spans="1:43" ht="13.5" thickBot="1">
      <c r="A4" s="26" t="s">
        <v>3</v>
      </c>
      <c r="B4" s="27" t="s">
        <v>13</v>
      </c>
      <c r="C4" s="335" t="s">
        <v>15</v>
      </c>
      <c r="D4" s="335"/>
      <c r="E4" s="335"/>
      <c r="F4" s="335"/>
      <c r="G4" s="385"/>
    </row>
    <row r="5" spans="1:43" ht="14.25" thickTop="1" thickBot="1">
      <c r="A5" s="1"/>
      <c r="B5" s="8"/>
      <c r="C5" s="61"/>
      <c r="D5" s="62"/>
      <c r="E5" s="63"/>
      <c r="F5" s="64"/>
      <c r="G5" s="65"/>
    </row>
    <row r="6" spans="1:43" ht="14.25" thickTop="1" thickBot="1">
      <c r="A6" s="34" t="s">
        <v>4</v>
      </c>
      <c r="B6" s="35" t="s">
        <v>5</v>
      </c>
      <c r="C6" s="31" t="s">
        <v>6</v>
      </c>
      <c r="D6" s="32" t="s">
        <v>7</v>
      </c>
      <c r="E6" s="53" t="s">
        <v>8</v>
      </c>
      <c r="F6" s="33" t="s">
        <v>9</v>
      </c>
      <c r="G6" s="33" t="s">
        <v>10</v>
      </c>
    </row>
    <row r="7" spans="1:43">
      <c r="A7" s="46" t="s">
        <v>49</v>
      </c>
      <c r="B7" s="47" t="s">
        <v>16</v>
      </c>
      <c r="C7" s="48" t="s">
        <v>17</v>
      </c>
      <c r="D7" s="28"/>
      <c r="E7" s="54"/>
      <c r="F7" s="337">
        <f>SUM(G8:G10)</f>
        <v>0</v>
      </c>
      <c r="G7" s="338"/>
    </row>
    <row r="8" spans="1:43" ht="22.5" outlineLevel="1">
      <c r="A8" s="44">
        <v>1</v>
      </c>
      <c r="B8" s="37" t="s">
        <v>50</v>
      </c>
      <c r="C8" s="49" t="s">
        <v>51</v>
      </c>
      <c r="D8" s="39" t="s">
        <v>52</v>
      </c>
      <c r="E8" s="55">
        <v>0</v>
      </c>
      <c r="F8" s="43">
        <v>0</v>
      </c>
      <c r="G8" s="43">
        <f>E8*F8</f>
        <v>0</v>
      </c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</row>
    <row r="9" spans="1:43" ht="22.5" customHeight="1" outlineLevel="1">
      <c r="A9" s="44"/>
      <c r="B9" s="37"/>
      <c r="C9" s="326" t="s">
        <v>53</v>
      </c>
      <c r="D9" s="383"/>
      <c r="E9" s="383"/>
      <c r="F9" s="383"/>
      <c r="G9" s="384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6" t="str">
        <f>C9</f>
        <v>jsou vytvořeny individuální kalkulací na základě jednotkových cen prací obdobného charakteru platných v dané době a v dané lokalitě a mají označení ve sloupci " číslo položky " :</v>
      </c>
      <c r="AK9" s="30"/>
      <c r="AL9" s="30"/>
      <c r="AM9" s="30"/>
      <c r="AN9" s="30"/>
      <c r="AO9" s="30"/>
      <c r="AP9" s="30"/>
      <c r="AQ9" s="30"/>
    </row>
    <row r="10" spans="1:43" ht="12.75" customHeight="1" outlineLevel="1">
      <c r="A10" s="44"/>
      <c r="B10" s="37"/>
      <c r="C10" s="326" t="s">
        <v>54</v>
      </c>
      <c r="D10" s="383"/>
      <c r="E10" s="383"/>
      <c r="F10" s="383"/>
      <c r="G10" s="384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6" t="str">
        <f>C10</f>
        <v>- velké PC před číslem položky nebo koncovku RG za číslem položky</v>
      </c>
      <c r="AK10" s="30"/>
      <c r="AL10" s="30"/>
      <c r="AM10" s="30"/>
      <c r="AN10" s="30"/>
      <c r="AO10" s="30"/>
      <c r="AP10" s="30"/>
      <c r="AQ10" s="30"/>
    </row>
    <row r="11" spans="1:43">
      <c r="A11" s="45" t="s">
        <v>49</v>
      </c>
      <c r="B11" s="38" t="s">
        <v>19</v>
      </c>
      <c r="C11" s="50" t="s">
        <v>20</v>
      </c>
      <c r="D11" s="40"/>
      <c r="E11" s="56"/>
      <c r="F11" s="330">
        <f>SUM(G12:G99)</f>
        <v>0</v>
      </c>
      <c r="G11" s="331"/>
    </row>
    <row r="12" spans="1:43" ht="22.5" outlineLevel="1">
      <c r="A12" s="44">
        <v>47</v>
      </c>
      <c r="B12" s="37" t="s">
        <v>63</v>
      </c>
      <c r="C12" s="49" t="s">
        <v>64</v>
      </c>
      <c r="D12" s="39" t="s">
        <v>57</v>
      </c>
      <c r="E12" s="55">
        <v>51.528500000000001</v>
      </c>
      <c r="F12" s="43"/>
      <c r="G12" s="43">
        <f>E12*F12</f>
        <v>0</v>
      </c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</row>
    <row r="13" spans="1:43" outlineLevel="1">
      <c r="A13" s="44"/>
      <c r="B13" s="37"/>
      <c r="C13" s="51" t="s">
        <v>59</v>
      </c>
      <c r="D13" s="41"/>
      <c r="E13" s="57"/>
      <c r="F13" s="43"/>
      <c r="G13" s="43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</row>
    <row r="14" spans="1:43" outlineLevel="1">
      <c r="A14" s="44"/>
      <c r="B14" s="37"/>
      <c r="C14" s="51" t="s">
        <v>65</v>
      </c>
      <c r="D14" s="41"/>
      <c r="E14" s="57">
        <v>63.128500000000003</v>
      </c>
      <c r="F14" s="43"/>
      <c r="G14" s="43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</row>
    <row r="15" spans="1:43" outlineLevel="1">
      <c r="A15" s="44"/>
      <c r="B15" s="37"/>
      <c r="C15" s="51" t="s">
        <v>66</v>
      </c>
      <c r="D15" s="41"/>
      <c r="E15" s="57">
        <v>-11.6</v>
      </c>
      <c r="F15" s="43"/>
      <c r="G15" s="43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 spans="1:43" ht="22.5" outlineLevel="1">
      <c r="A16" s="44">
        <v>48</v>
      </c>
      <c r="B16" s="37" t="s">
        <v>67</v>
      </c>
      <c r="C16" s="49" t="s">
        <v>68</v>
      </c>
      <c r="D16" s="39" t="s">
        <v>57</v>
      </c>
      <c r="E16" s="55">
        <v>30.67</v>
      </c>
      <c r="F16" s="43"/>
      <c r="G16" s="43">
        <f>E16*F16</f>
        <v>0</v>
      </c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</row>
    <row r="17" spans="1:43" outlineLevel="1">
      <c r="A17" s="44"/>
      <c r="B17" s="37"/>
      <c r="C17" s="51" t="s">
        <v>59</v>
      </c>
      <c r="D17" s="41"/>
      <c r="E17" s="57"/>
      <c r="F17" s="43"/>
      <c r="G17" s="43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</row>
    <row r="18" spans="1:43" outlineLevel="1">
      <c r="A18" s="44"/>
      <c r="B18" s="37"/>
      <c r="C18" s="51" t="s">
        <v>69</v>
      </c>
      <c r="D18" s="41"/>
      <c r="E18" s="57">
        <v>30.67</v>
      </c>
      <c r="F18" s="43"/>
      <c r="G18" s="43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</row>
    <row r="19" spans="1:43" outlineLevel="1">
      <c r="A19" s="44"/>
      <c r="B19" s="37"/>
      <c r="C19" s="51" t="s">
        <v>61</v>
      </c>
      <c r="D19" s="41"/>
      <c r="E19" s="57"/>
      <c r="F19" s="43"/>
      <c r="G19" s="43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</row>
    <row r="20" spans="1:43" outlineLevel="1">
      <c r="A20" s="44"/>
      <c r="B20" s="37"/>
      <c r="C20" s="51" t="s">
        <v>70</v>
      </c>
      <c r="D20" s="41"/>
      <c r="E20" s="57"/>
      <c r="F20" s="43"/>
      <c r="G20" s="43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</row>
    <row r="21" spans="1:43" outlineLevel="1">
      <c r="A21" s="44"/>
      <c r="B21" s="37"/>
      <c r="C21" s="51" t="s">
        <v>71</v>
      </c>
      <c r="D21" s="41"/>
      <c r="E21" s="57"/>
      <c r="F21" s="43"/>
      <c r="G21" s="43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</row>
    <row r="22" spans="1:43" ht="22.5" outlineLevel="1">
      <c r="A22" s="44">
        <v>49</v>
      </c>
      <c r="B22" s="37" t="s">
        <v>72</v>
      </c>
      <c r="C22" s="49" t="s">
        <v>73</v>
      </c>
      <c r="D22" s="39" t="s">
        <v>57</v>
      </c>
      <c r="E22" s="75">
        <v>14.1065</v>
      </c>
      <c r="F22" s="43"/>
      <c r="G22" s="43">
        <f>E22*F22</f>
        <v>0</v>
      </c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</row>
    <row r="23" spans="1:43" outlineLevel="1">
      <c r="A23" s="44"/>
      <c r="B23" s="37"/>
      <c r="C23" s="51" t="s">
        <v>59</v>
      </c>
      <c r="D23" s="41"/>
      <c r="E23" s="57"/>
      <c r="F23" s="43"/>
      <c r="G23" s="43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</row>
    <row r="24" spans="1:43" outlineLevel="1">
      <c r="A24" s="44"/>
      <c r="B24" s="37"/>
      <c r="C24" s="51" t="s">
        <v>74</v>
      </c>
      <c r="D24" s="41"/>
      <c r="E24" s="57">
        <v>14.1065</v>
      </c>
      <c r="F24" s="43"/>
      <c r="G24" s="43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</row>
    <row r="25" spans="1:43" outlineLevel="1">
      <c r="A25" s="44"/>
      <c r="B25" s="37"/>
      <c r="C25" s="51" t="s">
        <v>61</v>
      </c>
      <c r="D25" s="41"/>
      <c r="E25" s="57"/>
      <c r="F25" s="43"/>
      <c r="G25" s="43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</row>
    <row r="26" spans="1:43" outlineLevel="1">
      <c r="A26" s="44"/>
      <c r="B26" s="37"/>
      <c r="C26" s="51" t="s">
        <v>75</v>
      </c>
      <c r="D26" s="41"/>
      <c r="E26" s="57"/>
      <c r="F26" s="43"/>
      <c r="G26" s="43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</row>
    <row r="27" spans="1:43" ht="22.5" outlineLevel="1">
      <c r="A27" s="44">
        <v>50</v>
      </c>
      <c r="B27" s="37" t="s">
        <v>76</v>
      </c>
      <c r="C27" s="49" t="s">
        <v>77</v>
      </c>
      <c r="D27" s="39" t="s">
        <v>52</v>
      </c>
      <c r="E27" s="55">
        <v>6</v>
      </c>
      <c r="F27" s="43"/>
      <c r="G27" s="43">
        <f>E27*F27</f>
        <v>0</v>
      </c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</row>
    <row r="28" spans="1:43" outlineLevel="1">
      <c r="A28" s="44"/>
      <c r="B28" s="37"/>
      <c r="C28" s="51" t="s">
        <v>78</v>
      </c>
      <c r="D28" s="41"/>
      <c r="E28" s="57">
        <v>6</v>
      </c>
      <c r="F28" s="43"/>
      <c r="G28" s="43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</row>
    <row r="29" spans="1:43" outlineLevel="1">
      <c r="A29" s="44">
        <v>51</v>
      </c>
      <c r="B29" s="37" t="s">
        <v>79</v>
      </c>
      <c r="C29" s="49" t="s">
        <v>80</v>
      </c>
      <c r="D29" s="39" t="s">
        <v>52</v>
      </c>
      <c r="E29" s="55">
        <v>6</v>
      </c>
      <c r="F29" s="43"/>
      <c r="G29" s="43">
        <f>E29*F29</f>
        <v>0</v>
      </c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</row>
    <row r="30" spans="1:43" outlineLevel="1">
      <c r="A30" s="44"/>
      <c r="B30" s="37"/>
      <c r="C30" s="51" t="s">
        <v>78</v>
      </c>
      <c r="D30" s="41"/>
      <c r="E30" s="57">
        <v>6</v>
      </c>
      <c r="F30" s="43"/>
      <c r="G30" s="43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</row>
    <row r="31" spans="1:43" outlineLevel="1">
      <c r="A31" s="44"/>
      <c r="B31" s="37"/>
      <c r="C31" s="51" t="s">
        <v>81</v>
      </c>
      <c r="D31" s="41"/>
      <c r="E31" s="57"/>
      <c r="F31" s="43"/>
      <c r="G31" s="43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</row>
    <row r="32" spans="1:43" outlineLevel="1">
      <c r="A32" s="44">
        <v>52</v>
      </c>
      <c r="B32" s="37" t="s">
        <v>82</v>
      </c>
      <c r="C32" s="49" t="s">
        <v>83</v>
      </c>
      <c r="D32" s="39" t="s">
        <v>52</v>
      </c>
      <c r="E32" s="55">
        <v>8</v>
      </c>
      <c r="F32" s="43"/>
      <c r="G32" s="43">
        <f>E32*F32</f>
        <v>0</v>
      </c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</row>
    <row r="33" spans="1:43" outlineLevel="1">
      <c r="A33" s="44"/>
      <c r="B33" s="37"/>
      <c r="C33" s="51" t="s">
        <v>84</v>
      </c>
      <c r="D33" s="41"/>
      <c r="E33" s="57">
        <v>8</v>
      </c>
      <c r="F33" s="43"/>
      <c r="G33" s="43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</row>
    <row r="34" spans="1:43" outlineLevel="1">
      <c r="A34" s="44"/>
      <c r="B34" s="37"/>
      <c r="C34" s="51" t="s">
        <v>81</v>
      </c>
      <c r="D34" s="41"/>
      <c r="E34" s="57"/>
      <c r="F34" s="43"/>
      <c r="G34" s="43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</row>
    <row r="35" spans="1:43" ht="22.5" outlineLevel="1">
      <c r="A35" s="44">
        <v>53</v>
      </c>
      <c r="B35" s="37" t="s">
        <v>85</v>
      </c>
      <c r="C35" s="49" t="s">
        <v>86</v>
      </c>
      <c r="D35" s="39" t="s">
        <v>57</v>
      </c>
      <c r="E35" s="75">
        <v>27.74</v>
      </c>
      <c r="F35" s="43"/>
      <c r="G35" s="43">
        <f>E35*F35</f>
        <v>0</v>
      </c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</row>
    <row r="36" spans="1:43" outlineLevel="1">
      <c r="A36" s="44"/>
      <c r="B36" s="37"/>
      <c r="C36" s="51" t="s">
        <v>59</v>
      </c>
      <c r="D36" s="41"/>
      <c r="E36" s="57"/>
      <c r="F36" s="43"/>
      <c r="G36" s="43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</row>
    <row r="37" spans="1:43" outlineLevel="1">
      <c r="A37" s="44"/>
      <c r="B37" s="37"/>
      <c r="C37" s="51" t="s">
        <v>87</v>
      </c>
      <c r="D37" s="41"/>
      <c r="E37" s="57">
        <v>27.74</v>
      </c>
      <c r="F37" s="43"/>
      <c r="G37" s="43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</row>
    <row r="38" spans="1:43" outlineLevel="1">
      <c r="A38" s="44"/>
      <c r="B38" s="37"/>
      <c r="C38" s="51" t="s">
        <v>61</v>
      </c>
      <c r="D38" s="41"/>
      <c r="E38" s="57"/>
      <c r="F38" s="43"/>
      <c r="G38" s="43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30"/>
      <c r="AN38" s="30"/>
      <c r="AO38" s="30"/>
      <c r="AP38" s="30"/>
      <c r="AQ38" s="30"/>
    </row>
    <row r="39" spans="1:43" outlineLevel="1">
      <c r="A39" s="44"/>
      <c r="B39" s="37"/>
      <c r="C39" s="51" t="s">
        <v>88</v>
      </c>
      <c r="D39" s="41"/>
      <c r="E39" s="57"/>
      <c r="F39" s="43"/>
      <c r="G39" s="43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</row>
    <row r="40" spans="1:43" ht="22.5" outlineLevel="1">
      <c r="A40" s="44">
        <v>54</v>
      </c>
      <c r="B40" s="37" t="s">
        <v>89</v>
      </c>
      <c r="C40" s="49" t="s">
        <v>90</v>
      </c>
      <c r="D40" s="39" t="s">
        <v>57</v>
      </c>
      <c r="E40" s="55">
        <v>8.84</v>
      </c>
      <c r="F40" s="43"/>
      <c r="G40" s="43">
        <f>E40*F40</f>
        <v>0</v>
      </c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</row>
    <row r="41" spans="1:43" outlineLevel="1">
      <c r="A41" s="44"/>
      <c r="B41" s="37"/>
      <c r="C41" s="51" t="s">
        <v>59</v>
      </c>
      <c r="D41" s="41"/>
      <c r="E41" s="57"/>
      <c r="F41" s="43"/>
      <c r="G41" s="43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</row>
    <row r="42" spans="1:43" outlineLevel="1">
      <c r="A42" s="44"/>
      <c r="B42" s="37"/>
      <c r="C42" s="51" t="s">
        <v>91</v>
      </c>
      <c r="D42" s="41"/>
      <c r="E42" s="57">
        <v>8.84</v>
      </c>
      <c r="F42" s="43"/>
      <c r="G42" s="43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</row>
    <row r="43" spans="1:43" outlineLevel="1">
      <c r="A43" s="44">
        <v>55</v>
      </c>
      <c r="B43" s="37" t="s">
        <v>92</v>
      </c>
      <c r="C43" s="49" t="s">
        <v>93</v>
      </c>
      <c r="D43" s="39" t="s">
        <v>52</v>
      </c>
      <c r="E43" s="55">
        <v>3</v>
      </c>
      <c r="F43" s="43"/>
      <c r="G43" s="43">
        <f>E43*F43</f>
        <v>0</v>
      </c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</row>
    <row r="44" spans="1:43" outlineLevel="1">
      <c r="A44" s="44"/>
      <c r="B44" s="37"/>
      <c r="C44" s="326" t="s">
        <v>94</v>
      </c>
      <c r="D44" s="383"/>
      <c r="E44" s="383"/>
      <c r="F44" s="383"/>
      <c r="G44" s="384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6" t="str">
        <f>C44</f>
        <v>viz výkres podhledů</v>
      </c>
      <c r="AK44" s="30"/>
      <c r="AL44" s="30"/>
      <c r="AM44" s="30"/>
      <c r="AN44" s="30"/>
      <c r="AO44" s="30"/>
      <c r="AP44" s="30"/>
      <c r="AQ44" s="30"/>
    </row>
    <row r="45" spans="1:43" outlineLevel="1">
      <c r="A45" s="44"/>
      <c r="B45" s="37"/>
      <c r="C45" s="51" t="s">
        <v>95</v>
      </c>
      <c r="D45" s="41"/>
      <c r="E45" s="57">
        <v>3</v>
      </c>
      <c r="F45" s="43"/>
      <c r="G45" s="43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</row>
    <row r="46" spans="1:43" outlineLevel="1">
      <c r="A46" s="44"/>
      <c r="B46" s="37"/>
      <c r="C46" s="51" t="s">
        <v>96</v>
      </c>
      <c r="D46" s="41"/>
      <c r="E46" s="57"/>
      <c r="F46" s="43"/>
      <c r="G46" s="43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</row>
    <row r="47" spans="1:43" outlineLevel="1">
      <c r="A47" s="44">
        <v>56</v>
      </c>
      <c r="B47" s="37" t="s">
        <v>97</v>
      </c>
      <c r="C47" s="49" t="s">
        <v>98</v>
      </c>
      <c r="D47" s="39" t="s">
        <v>57</v>
      </c>
      <c r="E47" s="55">
        <v>53.12</v>
      </c>
      <c r="F47" s="43"/>
      <c r="G47" s="43">
        <f>E47*F47</f>
        <v>0</v>
      </c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</row>
    <row r="48" spans="1:43" outlineLevel="1">
      <c r="A48" s="44"/>
      <c r="B48" s="37"/>
      <c r="C48" s="51" t="s">
        <v>99</v>
      </c>
      <c r="D48" s="41"/>
      <c r="E48" s="57">
        <v>53.12</v>
      </c>
      <c r="F48" s="43"/>
      <c r="G48" s="43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</row>
    <row r="49" spans="1:43" outlineLevel="1">
      <c r="A49" s="44">
        <v>57</v>
      </c>
      <c r="B49" s="37" t="s">
        <v>100</v>
      </c>
      <c r="C49" s="49" t="s">
        <v>101</v>
      </c>
      <c r="D49" s="39" t="s">
        <v>57</v>
      </c>
      <c r="E49" s="55">
        <v>36.58</v>
      </c>
      <c r="F49" s="43"/>
      <c r="G49" s="43">
        <f>E49*F49</f>
        <v>0</v>
      </c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</row>
    <row r="50" spans="1:43" outlineLevel="1">
      <c r="A50" s="44"/>
      <c r="B50" s="37"/>
      <c r="C50" s="51" t="s">
        <v>59</v>
      </c>
      <c r="D50" s="41"/>
      <c r="E50" s="57"/>
      <c r="F50" s="43"/>
      <c r="G50" s="43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</row>
    <row r="51" spans="1:43" outlineLevel="1">
      <c r="A51" s="44"/>
      <c r="B51" s="37"/>
      <c r="C51" s="51" t="s">
        <v>102</v>
      </c>
      <c r="D51" s="41"/>
      <c r="E51" s="57">
        <v>36.58</v>
      </c>
      <c r="F51" s="43"/>
      <c r="G51" s="43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</row>
    <row r="52" spans="1:43" outlineLevel="1">
      <c r="A52" s="44"/>
      <c r="B52" s="37"/>
      <c r="C52" s="51" t="s">
        <v>61</v>
      </c>
      <c r="D52" s="41"/>
      <c r="E52" s="57"/>
      <c r="F52" s="43"/>
      <c r="G52" s="43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</row>
    <row r="53" spans="1:43" outlineLevel="1">
      <c r="A53" s="44"/>
      <c r="B53" s="37"/>
      <c r="C53" s="51" t="s">
        <v>103</v>
      </c>
      <c r="D53" s="41"/>
      <c r="E53" s="57"/>
      <c r="F53" s="43"/>
      <c r="G53" s="43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</row>
    <row r="54" spans="1:43" ht="22.5" outlineLevel="1">
      <c r="A54" s="44">
        <v>58</v>
      </c>
      <c r="B54" s="37" t="s">
        <v>104</v>
      </c>
      <c r="C54" s="49" t="s">
        <v>105</v>
      </c>
      <c r="D54" s="39" t="s">
        <v>57</v>
      </c>
      <c r="E54" s="55">
        <v>21.38</v>
      </c>
      <c r="F54" s="43"/>
      <c r="G54" s="43">
        <f>E54*F54</f>
        <v>0</v>
      </c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</row>
    <row r="55" spans="1:43" ht="12.75" customHeight="1" outlineLevel="1">
      <c r="A55" s="44"/>
      <c r="B55" s="37"/>
      <c r="C55" s="326" t="s">
        <v>106</v>
      </c>
      <c r="D55" s="383"/>
      <c r="E55" s="383"/>
      <c r="F55" s="383"/>
      <c r="G55" s="38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6" t="str">
        <f>C55</f>
        <v>včetně všech prostupů pro světla a prvky VZT - přesný popis viz specifikace podhledů.</v>
      </c>
      <c r="AK55" s="30"/>
      <c r="AL55" s="30"/>
      <c r="AM55" s="30"/>
      <c r="AN55" s="30"/>
      <c r="AO55" s="30"/>
      <c r="AP55" s="30"/>
      <c r="AQ55" s="30"/>
    </row>
    <row r="56" spans="1:43" ht="12.75" customHeight="1" outlineLevel="1">
      <c r="A56" s="44"/>
      <c r="B56" s="37"/>
      <c r="C56" s="326" t="s">
        <v>107</v>
      </c>
      <c r="D56" s="383"/>
      <c r="E56" s="383"/>
      <c r="F56" s="383"/>
      <c r="G56" s="384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6" t="str">
        <f>C56</f>
        <v>kompletní provedení podhledu ve skladbě S3 - dod + mont:</v>
      </c>
      <c r="AK56" s="30"/>
      <c r="AL56" s="30"/>
      <c r="AM56" s="30"/>
      <c r="AN56" s="30"/>
      <c r="AO56" s="30"/>
      <c r="AP56" s="30"/>
      <c r="AQ56" s="30"/>
    </row>
    <row r="57" spans="1:43" outlineLevel="1">
      <c r="A57" s="44"/>
      <c r="B57" s="37"/>
      <c r="C57" s="326" t="s">
        <v>108</v>
      </c>
      <c r="D57" s="383"/>
      <c r="E57" s="383"/>
      <c r="F57" s="383"/>
      <c r="G57" s="38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6" t="str">
        <f>C57</f>
        <v>- mineral.vlna tl. 300 mm</v>
      </c>
      <c r="AK57" s="30"/>
      <c r="AL57" s="30"/>
      <c r="AM57" s="30"/>
      <c r="AN57" s="30"/>
      <c r="AO57" s="30"/>
      <c r="AP57" s="30"/>
      <c r="AQ57" s="30"/>
    </row>
    <row r="58" spans="1:43" outlineLevel="1">
      <c r="A58" s="44"/>
      <c r="B58" s="37"/>
      <c r="C58" s="326" t="s">
        <v>109</v>
      </c>
      <c r="D58" s="383"/>
      <c r="E58" s="383"/>
      <c r="F58" s="383"/>
      <c r="G58" s="384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6" t="str">
        <f>C58</f>
        <v>- parotěsná folie na bázi polyamidu</v>
      </c>
      <c r="AK58" s="30"/>
      <c r="AL58" s="30"/>
      <c r="AM58" s="30"/>
      <c r="AN58" s="30"/>
      <c r="AO58" s="30"/>
      <c r="AP58" s="30"/>
      <c r="AQ58" s="30"/>
    </row>
    <row r="59" spans="1:43" outlineLevel="1">
      <c r="A59" s="44"/>
      <c r="B59" s="37"/>
      <c r="C59" s="326" t="s">
        <v>110</v>
      </c>
      <c r="D59" s="383"/>
      <c r="E59" s="383"/>
      <c r="F59" s="383"/>
      <c r="G59" s="384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6" t="str">
        <f>C59</f>
        <v>- kce SDK podhledu</v>
      </c>
      <c r="AK59" s="30"/>
      <c r="AL59" s="30"/>
      <c r="AM59" s="30"/>
      <c r="AN59" s="30"/>
      <c r="AO59" s="30"/>
      <c r="AP59" s="30"/>
      <c r="AQ59" s="30"/>
    </row>
    <row r="60" spans="1:43" outlineLevel="1">
      <c r="A60" s="44"/>
      <c r="B60" s="37"/>
      <c r="C60" s="51" t="s">
        <v>111</v>
      </c>
      <c r="D60" s="41"/>
      <c r="E60" s="57"/>
      <c r="F60" s="43"/>
      <c r="G60" s="43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</row>
    <row r="61" spans="1:43" outlineLevel="1">
      <c r="A61" s="44"/>
      <c r="B61" s="37"/>
      <c r="C61" s="51" t="s">
        <v>112</v>
      </c>
      <c r="D61" s="41"/>
      <c r="E61" s="57">
        <v>21.38</v>
      </c>
      <c r="F61" s="43"/>
      <c r="G61" s="43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</row>
    <row r="62" spans="1:43" ht="33.75" outlineLevel="1">
      <c r="A62" s="44">
        <v>59</v>
      </c>
      <c r="B62" s="37" t="s">
        <v>113</v>
      </c>
      <c r="C62" s="49" t="s">
        <v>114</v>
      </c>
      <c r="D62" s="39" t="s">
        <v>57</v>
      </c>
      <c r="E62" s="55">
        <v>52.058999999999997</v>
      </c>
      <c r="F62" s="43"/>
      <c r="G62" s="43">
        <f>E62*F62</f>
        <v>0</v>
      </c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</row>
    <row r="63" spans="1:43" ht="12.75" customHeight="1" outlineLevel="1">
      <c r="A63" s="44"/>
      <c r="B63" s="37"/>
      <c r="C63" s="326" t="s">
        <v>106</v>
      </c>
      <c r="D63" s="383"/>
      <c r="E63" s="383"/>
      <c r="F63" s="383"/>
      <c r="G63" s="384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0"/>
      <c r="AJ63" s="36" t="str">
        <f>C63</f>
        <v>včetně všech prostupů pro světla a prvky VZT - přesný popis viz specifikace podhledů.</v>
      </c>
      <c r="AK63" s="30"/>
      <c r="AL63" s="30"/>
      <c r="AM63" s="30"/>
      <c r="AN63" s="30"/>
      <c r="AO63" s="30"/>
      <c r="AP63" s="30"/>
      <c r="AQ63" s="30"/>
    </row>
    <row r="64" spans="1:43" outlineLevel="1">
      <c r="A64" s="44"/>
      <c r="B64" s="37"/>
      <c r="C64" s="51" t="s">
        <v>59</v>
      </c>
      <c r="D64" s="41"/>
      <c r="E64" s="57"/>
      <c r="F64" s="43"/>
      <c r="G64" s="43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</row>
    <row r="65" spans="1:43" outlineLevel="1">
      <c r="A65" s="44"/>
      <c r="B65" s="37"/>
      <c r="C65" s="51" t="s">
        <v>115</v>
      </c>
      <c r="D65" s="41"/>
      <c r="E65" s="57">
        <v>44.399000000000001</v>
      </c>
      <c r="F65" s="43"/>
      <c r="G65" s="43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0"/>
      <c r="AJ65" s="30"/>
      <c r="AK65" s="30"/>
      <c r="AL65" s="30"/>
      <c r="AM65" s="30"/>
      <c r="AN65" s="30"/>
      <c r="AO65" s="30"/>
      <c r="AP65" s="30"/>
      <c r="AQ65" s="30"/>
    </row>
    <row r="66" spans="1:43" outlineLevel="1">
      <c r="A66" s="44"/>
      <c r="B66" s="37"/>
      <c r="C66" s="51" t="s">
        <v>116</v>
      </c>
      <c r="D66" s="41"/>
      <c r="E66" s="57">
        <v>7.66</v>
      </c>
      <c r="F66" s="43"/>
      <c r="G66" s="43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0"/>
      <c r="AJ66" s="30"/>
      <c r="AK66" s="30"/>
      <c r="AL66" s="30"/>
      <c r="AM66" s="30"/>
      <c r="AN66" s="30"/>
      <c r="AO66" s="30"/>
      <c r="AP66" s="30"/>
      <c r="AQ66" s="30"/>
    </row>
    <row r="67" spans="1:43" ht="22.5" outlineLevel="1">
      <c r="A67" s="44">
        <v>60</v>
      </c>
      <c r="B67" s="37" t="s">
        <v>117</v>
      </c>
      <c r="C67" s="49" t="s">
        <v>118</v>
      </c>
      <c r="D67" s="39" t="s">
        <v>57</v>
      </c>
      <c r="E67" s="55">
        <v>0</v>
      </c>
      <c r="F67" s="43"/>
      <c r="G67" s="43">
        <f>E67*F67</f>
        <v>0</v>
      </c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0"/>
      <c r="AJ67" s="30"/>
      <c r="AK67" s="30"/>
      <c r="AL67" s="30"/>
      <c r="AM67" s="30"/>
      <c r="AN67" s="30"/>
      <c r="AO67" s="30"/>
      <c r="AP67" s="30"/>
      <c r="AQ67" s="30"/>
    </row>
    <row r="68" spans="1:43" ht="12.75" customHeight="1" outlineLevel="1">
      <c r="A68" s="44"/>
      <c r="B68" s="37"/>
      <c r="C68" s="326" t="s">
        <v>119</v>
      </c>
      <c r="D68" s="383"/>
      <c r="E68" s="383"/>
      <c r="F68" s="383"/>
      <c r="G68" s="384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6" t="str">
        <f>C68</f>
        <v>kompletní provedení podhledu ve skladbě S1 a S2 - dod + mont:</v>
      </c>
      <c r="AK68" s="30"/>
      <c r="AL68" s="30"/>
      <c r="AM68" s="30"/>
      <c r="AN68" s="30"/>
      <c r="AO68" s="30"/>
      <c r="AP68" s="30"/>
      <c r="AQ68" s="30"/>
    </row>
    <row r="69" spans="1:43" outlineLevel="1">
      <c r="A69" s="44"/>
      <c r="B69" s="37"/>
      <c r="C69" s="326" t="s">
        <v>108</v>
      </c>
      <c r="D69" s="383"/>
      <c r="E69" s="383"/>
      <c r="F69" s="383"/>
      <c r="G69" s="384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6" t="str">
        <f>C69</f>
        <v>- mineral.vlna tl. 300 mm</v>
      </c>
      <c r="AK69" s="30"/>
      <c r="AL69" s="30"/>
      <c r="AM69" s="30"/>
      <c r="AN69" s="30"/>
      <c r="AO69" s="30"/>
      <c r="AP69" s="30"/>
      <c r="AQ69" s="30"/>
    </row>
    <row r="70" spans="1:43" outlineLevel="1">
      <c r="A70" s="44"/>
      <c r="B70" s="37"/>
      <c r="C70" s="326" t="s">
        <v>120</v>
      </c>
      <c r="D70" s="383"/>
      <c r="E70" s="383"/>
      <c r="F70" s="383"/>
      <c r="G70" s="384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0"/>
      <c r="AJ70" s="36" t="str">
        <f>C70</f>
        <v>- nosná kce podhledu - dřevoštěpk.desky tl.10 mm</v>
      </c>
      <c r="AK70" s="30"/>
      <c r="AL70" s="30"/>
      <c r="AM70" s="30"/>
      <c r="AN70" s="30"/>
      <c r="AO70" s="30"/>
      <c r="AP70" s="30"/>
      <c r="AQ70" s="30"/>
    </row>
    <row r="71" spans="1:43" outlineLevel="1">
      <c r="A71" s="44"/>
      <c r="B71" s="37"/>
      <c r="C71" s="326" t="s">
        <v>109</v>
      </c>
      <c r="D71" s="383"/>
      <c r="E71" s="383"/>
      <c r="F71" s="383"/>
      <c r="G71" s="384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0"/>
      <c r="AJ71" s="36" t="str">
        <f>C71</f>
        <v>- parotěsná folie na bázi polyamidu</v>
      </c>
      <c r="AK71" s="30"/>
      <c r="AL71" s="30"/>
      <c r="AM71" s="30"/>
      <c r="AN71" s="30"/>
      <c r="AO71" s="30"/>
      <c r="AP71" s="30"/>
      <c r="AQ71" s="30"/>
    </row>
    <row r="72" spans="1:43" outlineLevel="1">
      <c r="A72" s="44"/>
      <c r="B72" s="37"/>
      <c r="C72" s="326" t="s">
        <v>110</v>
      </c>
      <c r="D72" s="383"/>
      <c r="E72" s="383"/>
      <c r="F72" s="383"/>
      <c r="G72" s="384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  <c r="AH72" s="30"/>
      <c r="AI72" s="30"/>
      <c r="AJ72" s="36" t="str">
        <f>C72</f>
        <v>- kce SDK podhledu</v>
      </c>
      <c r="AK72" s="30"/>
      <c r="AL72" s="30"/>
      <c r="AM72" s="30"/>
      <c r="AN72" s="30"/>
      <c r="AO72" s="30"/>
      <c r="AP72" s="30"/>
      <c r="AQ72" s="30"/>
    </row>
    <row r="73" spans="1:43" outlineLevel="1">
      <c r="A73" s="44"/>
      <c r="B73" s="37"/>
      <c r="C73" s="51" t="s">
        <v>121</v>
      </c>
      <c r="D73" s="41"/>
      <c r="E73" s="57"/>
      <c r="F73" s="43"/>
      <c r="G73" s="43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0"/>
      <c r="AJ73" s="30"/>
      <c r="AK73" s="30"/>
      <c r="AL73" s="30"/>
      <c r="AM73" s="30"/>
      <c r="AN73" s="30"/>
      <c r="AO73" s="30"/>
      <c r="AP73" s="30"/>
      <c r="AQ73" s="30"/>
    </row>
    <row r="74" spans="1:43" outlineLevel="1">
      <c r="A74" s="44"/>
      <c r="B74" s="37"/>
      <c r="C74" s="51" t="s">
        <v>122</v>
      </c>
      <c r="D74" s="41"/>
      <c r="E74" s="57">
        <v>0</v>
      </c>
      <c r="F74" s="43"/>
      <c r="G74" s="43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0"/>
      <c r="AJ74" s="30"/>
      <c r="AK74" s="30"/>
      <c r="AL74" s="30"/>
      <c r="AM74" s="30"/>
      <c r="AN74" s="30"/>
      <c r="AO74" s="30"/>
      <c r="AP74" s="30"/>
      <c r="AQ74" s="30"/>
    </row>
    <row r="75" spans="1:43" outlineLevel="1">
      <c r="A75" s="44"/>
      <c r="B75" s="37"/>
      <c r="C75" s="51" t="s">
        <v>123</v>
      </c>
      <c r="D75" s="41"/>
      <c r="E75" s="57"/>
      <c r="F75" s="43"/>
      <c r="G75" s="43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0"/>
      <c r="AJ75" s="30"/>
      <c r="AK75" s="30"/>
      <c r="AL75" s="30"/>
      <c r="AM75" s="30"/>
      <c r="AN75" s="30"/>
      <c r="AO75" s="30"/>
      <c r="AP75" s="30"/>
      <c r="AQ75" s="30"/>
    </row>
    <row r="76" spans="1:43" outlineLevel="1">
      <c r="A76" s="44"/>
      <c r="B76" s="37"/>
      <c r="C76" s="51" t="s">
        <v>124</v>
      </c>
      <c r="D76" s="41"/>
      <c r="E76" s="57">
        <v>0</v>
      </c>
      <c r="F76" s="43"/>
      <c r="G76" s="43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</row>
    <row r="77" spans="1:43" outlineLevel="1">
      <c r="A77" s="44"/>
      <c r="B77" s="37"/>
      <c r="C77" s="51" t="s">
        <v>125</v>
      </c>
      <c r="D77" s="41"/>
      <c r="E77" s="57"/>
      <c r="F77" s="43"/>
      <c r="G77" s="43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0"/>
    </row>
    <row r="78" spans="1:43" outlineLevel="1">
      <c r="A78" s="44"/>
      <c r="B78" s="37"/>
      <c r="C78" s="51" t="s">
        <v>126</v>
      </c>
      <c r="D78" s="41"/>
      <c r="E78" s="57">
        <v>0</v>
      </c>
      <c r="F78" s="43"/>
      <c r="G78" s="43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0"/>
      <c r="AJ78" s="30"/>
      <c r="AK78" s="30"/>
      <c r="AL78" s="30"/>
      <c r="AM78" s="30"/>
      <c r="AN78" s="30"/>
      <c r="AO78" s="30"/>
      <c r="AP78" s="30"/>
      <c r="AQ78" s="30"/>
    </row>
    <row r="79" spans="1:43" ht="22.5" outlineLevel="1">
      <c r="A79" s="44">
        <v>61</v>
      </c>
      <c r="B79" s="37" t="s">
        <v>127</v>
      </c>
      <c r="C79" s="49" t="s">
        <v>128</v>
      </c>
      <c r="D79" s="39" t="s">
        <v>62</v>
      </c>
      <c r="E79" s="55">
        <v>0</v>
      </c>
      <c r="F79" s="43"/>
      <c r="G79" s="43">
        <f>E79*F79</f>
        <v>0</v>
      </c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</row>
    <row r="80" spans="1:43" outlineLevel="1">
      <c r="A80" s="44"/>
      <c r="B80" s="37"/>
      <c r="C80" s="51" t="s">
        <v>129</v>
      </c>
      <c r="D80" s="41"/>
      <c r="E80" s="57"/>
      <c r="F80" s="43"/>
      <c r="G80" s="43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</row>
    <row r="81" spans="1:43" outlineLevel="1">
      <c r="A81" s="44"/>
      <c r="B81" s="37"/>
      <c r="C81" s="51" t="s">
        <v>130</v>
      </c>
      <c r="D81" s="41"/>
      <c r="E81" s="57">
        <v>0</v>
      </c>
      <c r="F81" s="43"/>
      <c r="G81" s="43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0"/>
      <c r="AJ81" s="30"/>
      <c r="AK81" s="30"/>
      <c r="AL81" s="30"/>
      <c r="AM81" s="30"/>
      <c r="AN81" s="30"/>
      <c r="AO81" s="30"/>
      <c r="AP81" s="30"/>
      <c r="AQ81" s="30"/>
    </row>
    <row r="82" spans="1:43" ht="22.5" outlineLevel="1">
      <c r="A82" s="44">
        <v>62</v>
      </c>
      <c r="B82" s="37" t="s">
        <v>131</v>
      </c>
      <c r="C82" s="49" t="s">
        <v>132</v>
      </c>
      <c r="D82" s="39" t="s">
        <v>62</v>
      </c>
      <c r="E82" s="55">
        <v>0</v>
      </c>
      <c r="F82" s="43"/>
      <c r="G82" s="43">
        <f>E82*F82</f>
        <v>0</v>
      </c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</row>
    <row r="83" spans="1:43" outlineLevel="1">
      <c r="A83" s="44"/>
      <c r="B83" s="37"/>
      <c r="C83" s="51" t="s">
        <v>129</v>
      </c>
      <c r="D83" s="41"/>
      <c r="E83" s="57"/>
      <c r="F83" s="43"/>
      <c r="G83" s="43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</row>
    <row r="84" spans="1:43" outlineLevel="1">
      <c r="A84" s="44"/>
      <c r="B84" s="37"/>
      <c r="C84" s="51" t="s">
        <v>133</v>
      </c>
      <c r="D84" s="41"/>
      <c r="E84" s="57">
        <v>0</v>
      </c>
      <c r="F84" s="43"/>
      <c r="G84" s="43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0"/>
      <c r="AJ84" s="30"/>
      <c r="AK84" s="30"/>
      <c r="AL84" s="30"/>
      <c r="AM84" s="30"/>
      <c r="AN84" s="30"/>
      <c r="AO84" s="30"/>
      <c r="AP84" s="30"/>
      <c r="AQ84" s="30"/>
    </row>
    <row r="85" spans="1:43" outlineLevel="1">
      <c r="A85" s="44">
        <v>63</v>
      </c>
      <c r="B85" s="37" t="s">
        <v>134</v>
      </c>
      <c r="C85" s="49" t="s">
        <v>135</v>
      </c>
      <c r="D85" s="39" t="s">
        <v>52</v>
      </c>
      <c r="E85" s="55">
        <v>2</v>
      </c>
      <c r="F85" s="43"/>
      <c r="G85" s="43">
        <f>E85*F85</f>
        <v>0</v>
      </c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0"/>
      <c r="AJ85" s="30"/>
      <c r="AK85" s="30"/>
      <c r="AL85" s="30"/>
      <c r="AM85" s="30"/>
      <c r="AN85" s="30"/>
      <c r="AO85" s="30"/>
      <c r="AP85" s="30"/>
      <c r="AQ85" s="30"/>
    </row>
    <row r="86" spans="1:43" outlineLevel="1">
      <c r="A86" s="44"/>
      <c r="B86" s="37"/>
      <c r="C86" s="51" t="s">
        <v>136</v>
      </c>
      <c r="D86" s="41"/>
      <c r="E86" s="57">
        <v>2</v>
      </c>
      <c r="F86" s="43"/>
      <c r="G86" s="43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</row>
    <row r="87" spans="1:43" outlineLevel="1">
      <c r="A87" s="44"/>
      <c r="B87" s="37"/>
      <c r="C87" s="51" t="s">
        <v>81</v>
      </c>
      <c r="D87" s="41"/>
      <c r="E87" s="57">
        <v>0</v>
      </c>
      <c r="F87" s="43"/>
      <c r="G87" s="43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</row>
    <row r="88" spans="1:43" outlineLevel="1">
      <c r="A88" s="44">
        <v>64</v>
      </c>
      <c r="B88" s="37" t="s">
        <v>137</v>
      </c>
      <c r="C88" s="49" t="s">
        <v>138</v>
      </c>
      <c r="D88" s="39" t="s">
        <v>52</v>
      </c>
      <c r="E88" s="55">
        <v>1</v>
      </c>
      <c r="F88" s="43"/>
      <c r="G88" s="43">
        <f>E88*F88</f>
        <v>0</v>
      </c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</row>
    <row r="89" spans="1:43" outlineLevel="1">
      <c r="A89" s="44"/>
      <c r="B89" s="37"/>
      <c r="C89" s="51" t="s">
        <v>139</v>
      </c>
      <c r="D89" s="41"/>
      <c r="E89" s="57">
        <v>1</v>
      </c>
      <c r="F89" s="43"/>
      <c r="G89" s="43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</row>
    <row r="90" spans="1:43" outlineLevel="1">
      <c r="A90" s="44"/>
      <c r="B90" s="37"/>
      <c r="C90" s="51" t="s">
        <v>81</v>
      </c>
      <c r="D90" s="41"/>
      <c r="E90" s="57">
        <v>0</v>
      </c>
      <c r="F90" s="43"/>
      <c r="G90" s="43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</row>
    <row r="91" spans="1:43" ht="22.5" outlineLevel="1">
      <c r="A91" s="44">
        <v>65</v>
      </c>
      <c r="B91" s="37" t="s">
        <v>140</v>
      </c>
      <c r="C91" s="49" t="s">
        <v>141</v>
      </c>
      <c r="D91" s="39" t="s">
        <v>57</v>
      </c>
      <c r="E91" s="57">
        <v>22.031500000000001</v>
      </c>
      <c r="F91" s="43"/>
      <c r="G91" s="43">
        <f>E91*F91</f>
        <v>0</v>
      </c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</row>
    <row r="92" spans="1:43" ht="12.75" customHeight="1" outlineLevel="1">
      <c r="A92" s="44"/>
      <c r="B92" s="37"/>
      <c r="C92" s="326" t="s">
        <v>142</v>
      </c>
      <c r="D92" s="383"/>
      <c r="E92" s="383"/>
      <c r="F92" s="383"/>
      <c r="G92" s="384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0"/>
      <c r="AJ92" s="36" t="str">
        <f>C92</f>
        <v>Opláštění SDK pouze z jedné strany - krytí stoupaček,jader apod.</v>
      </c>
      <c r="AK92" s="30"/>
      <c r="AL92" s="30"/>
      <c r="AM92" s="30"/>
      <c r="AN92" s="30"/>
      <c r="AO92" s="30"/>
      <c r="AP92" s="30"/>
      <c r="AQ92" s="30"/>
    </row>
    <row r="93" spans="1:43" outlineLevel="1">
      <c r="A93" s="44"/>
      <c r="B93" s="37"/>
      <c r="C93" s="51" t="s">
        <v>59</v>
      </c>
      <c r="D93" s="41"/>
      <c r="E93" s="57"/>
      <c r="F93" s="43"/>
      <c r="G93" s="43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</row>
    <row r="94" spans="1:43" outlineLevel="1">
      <c r="A94" s="44"/>
      <c r="B94" s="37"/>
      <c r="C94" s="51" t="s">
        <v>143</v>
      </c>
      <c r="D94" s="41"/>
      <c r="E94" s="57">
        <v>22.031500000000001</v>
      </c>
      <c r="F94" s="43"/>
      <c r="G94" s="43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0"/>
      <c r="AJ94" s="30"/>
      <c r="AK94" s="30"/>
      <c r="AL94" s="30"/>
      <c r="AM94" s="30"/>
      <c r="AN94" s="30"/>
      <c r="AO94" s="30"/>
      <c r="AP94" s="30"/>
      <c r="AQ94" s="30"/>
    </row>
    <row r="95" spans="1:43" outlineLevel="1">
      <c r="A95" s="44"/>
      <c r="B95" s="37"/>
      <c r="C95" s="51" t="s">
        <v>61</v>
      </c>
      <c r="D95" s="41"/>
      <c r="E95" s="57"/>
      <c r="F95" s="43"/>
      <c r="G95" s="43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0"/>
      <c r="AJ95" s="30"/>
      <c r="AK95" s="30"/>
      <c r="AL95" s="30"/>
      <c r="AM95" s="30"/>
      <c r="AN95" s="30"/>
      <c r="AO95" s="30"/>
      <c r="AP95" s="30"/>
      <c r="AQ95" s="30"/>
    </row>
    <row r="96" spans="1:43" outlineLevel="1">
      <c r="A96" s="44"/>
      <c r="B96" s="37"/>
      <c r="C96" s="51" t="s">
        <v>144</v>
      </c>
      <c r="D96" s="41"/>
      <c r="E96" s="57"/>
      <c r="F96" s="43"/>
      <c r="G96" s="43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30"/>
    </row>
    <row r="97" spans="1:51" ht="22.5" outlineLevel="1">
      <c r="A97" s="44">
        <v>66</v>
      </c>
      <c r="B97" s="37" t="s">
        <v>145</v>
      </c>
      <c r="C97" s="49" t="s">
        <v>146</v>
      </c>
      <c r="D97" s="39" t="s">
        <v>62</v>
      </c>
      <c r="E97" s="55">
        <v>65</v>
      </c>
      <c r="F97" s="43"/>
      <c r="G97" s="43">
        <f>E97*F97</f>
        <v>0</v>
      </c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30"/>
    </row>
    <row r="98" spans="1:51" outlineLevel="1">
      <c r="A98" s="44"/>
      <c r="B98" s="37"/>
      <c r="C98" s="51" t="s">
        <v>147</v>
      </c>
      <c r="D98" s="41"/>
      <c r="E98" s="57">
        <v>65</v>
      </c>
      <c r="F98" s="43"/>
      <c r="G98" s="43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30"/>
    </row>
    <row r="99" spans="1:51" outlineLevel="1">
      <c r="A99" s="44"/>
      <c r="B99" s="37"/>
      <c r="C99" s="51" t="s">
        <v>148</v>
      </c>
      <c r="D99" s="41"/>
      <c r="E99" s="57">
        <v>0</v>
      </c>
      <c r="F99" s="43"/>
      <c r="G99" s="43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30"/>
    </row>
    <row r="100" spans="1:51">
      <c r="A100" s="45" t="s">
        <v>49</v>
      </c>
      <c r="B100" s="38" t="s">
        <v>531</v>
      </c>
      <c r="C100" s="50" t="s">
        <v>532</v>
      </c>
      <c r="D100" s="40"/>
      <c r="E100" s="56"/>
      <c r="F100" s="330">
        <f>SUM(G101:G190)</f>
        <v>0</v>
      </c>
      <c r="G100" s="331"/>
      <c r="H100" s="70"/>
    </row>
    <row r="101" spans="1:51" outlineLevel="1">
      <c r="A101" s="44">
        <v>87</v>
      </c>
      <c r="B101" s="37" t="s">
        <v>533</v>
      </c>
      <c r="C101" s="71" t="s">
        <v>534</v>
      </c>
      <c r="D101" s="72" t="s">
        <v>57</v>
      </c>
      <c r="E101" s="73">
        <v>190.26900000000001</v>
      </c>
      <c r="F101" s="74"/>
      <c r="G101" s="74">
        <f>E101*F101</f>
        <v>0</v>
      </c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</row>
    <row r="102" spans="1:51" ht="33.75" outlineLevel="1">
      <c r="A102" s="44"/>
      <c r="B102" s="37"/>
      <c r="C102" s="326" t="s">
        <v>535</v>
      </c>
      <c r="D102" s="383"/>
      <c r="E102" s="383"/>
      <c r="F102" s="383"/>
      <c r="G102" s="384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30"/>
      <c r="AR102" s="36" t="str">
        <f>C102</f>
        <v>Včetně pomocného lešení.</v>
      </c>
      <c r="AS102" s="30"/>
      <c r="AT102" s="30"/>
      <c r="AU102" s="30"/>
      <c r="AV102" s="30"/>
      <c r="AW102" s="30"/>
      <c r="AX102" s="30"/>
      <c r="AY102" s="30"/>
    </row>
    <row r="103" spans="1:51" outlineLevel="1">
      <c r="A103" s="44"/>
      <c r="B103" s="37"/>
      <c r="C103" s="51" t="s">
        <v>59</v>
      </c>
      <c r="D103" s="41"/>
      <c r="E103" s="57"/>
      <c r="F103" s="43"/>
      <c r="G103" s="43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0"/>
      <c r="AJ103" s="30"/>
      <c r="AK103" s="30"/>
      <c r="AL103" s="30"/>
      <c r="AM103" s="30"/>
      <c r="AN103" s="30"/>
      <c r="AO103" s="30"/>
      <c r="AP103" s="30"/>
      <c r="AQ103" s="30"/>
      <c r="AR103" s="30"/>
      <c r="AS103" s="30"/>
      <c r="AT103" s="30"/>
      <c r="AU103" s="30"/>
      <c r="AV103" s="30"/>
      <c r="AW103" s="30"/>
      <c r="AX103" s="30"/>
      <c r="AY103" s="30"/>
    </row>
    <row r="104" spans="1:51" outlineLevel="1">
      <c r="A104" s="44"/>
      <c r="B104" s="37"/>
      <c r="C104" s="51" t="s">
        <v>536</v>
      </c>
      <c r="D104" s="41"/>
      <c r="E104" s="57">
        <v>95.86</v>
      </c>
      <c r="F104" s="43"/>
      <c r="G104" s="43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0"/>
      <c r="AJ104" s="30"/>
      <c r="AK104" s="30"/>
      <c r="AL104" s="30"/>
      <c r="AM104" s="30"/>
      <c r="AN104" s="30"/>
      <c r="AO104" s="30"/>
      <c r="AP104" s="30"/>
      <c r="AQ104" s="30"/>
      <c r="AR104" s="30"/>
      <c r="AS104" s="30"/>
      <c r="AT104" s="30"/>
      <c r="AU104" s="30"/>
      <c r="AV104" s="30"/>
      <c r="AW104" s="30"/>
      <c r="AX104" s="30"/>
      <c r="AY104" s="30"/>
    </row>
    <row r="105" spans="1:51" outlineLevel="1">
      <c r="A105" s="44"/>
      <c r="B105" s="37"/>
      <c r="C105" s="51" t="s">
        <v>537</v>
      </c>
      <c r="D105" s="41"/>
      <c r="E105" s="57">
        <v>58.033999999999999</v>
      </c>
      <c r="F105" s="43"/>
      <c r="G105" s="43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0"/>
      <c r="AJ105" s="30"/>
      <c r="AK105" s="30"/>
      <c r="AL105" s="30"/>
      <c r="AM105" s="30"/>
      <c r="AN105" s="30"/>
      <c r="AO105" s="30"/>
      <c r="AP105" s="30"/>
      <c r="AQ105" s="30"/>
      <c r="AR105" s="30"/>
      <c r="AS105" s="30"/>
      <c r="AT105" s="30"/>
      <c r="AU105" s="30"/>
      <c r="AV105" s="30"/>
      <c r="AW105" s="30"/>
      <c r="AX105" s="30"/>
      <c r="AY105" s="30"/>
    </row>
    <row r="106" spans="1:51" outlineLevel="1">
      <c r="A106" s="44"/>
      <c r="B106" s="37"/>
      <c r="C106" s="51" t="s">
        <v>538</v>
      </c>
      <c r="D106" s="41"/>
      <c r="E106" s="57">
        <v>36.375</v>
      </c>
      <c r="F106" s="43"/>
      <c r="G106" s="43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0"/>
      <c r="AJ106" s="30"/>
      <c r="AK106" s="30"/>
      <c r="AL106" s="30"/>
      <c r="AM106" s="30"/>
      <c r="AN106" s="30"/>
      <c r="AO106" s="30"/>
      <c r="AP106" s="30"/>
      <c r="AQ106" s="30"/>
      <c r="AR106" s="30"/>
      <c r="AS106" s="30"/>
      <c r="AT106" s="30"/>
      <c r="AU106" s="30"/>
      <c r="AV106" s="30"/>
      <c r="AW106" s="30"/>
      <c r="AX106" s="30"/>
      <c r="AY106" s="30"/>
    </row>
    <row r="107" spans="1:51" outlineLevel="1">
      <c r="A107" s="44">
        <v>88</v>
      </c>
      <c r="B107" s="37" t="s">
        <v>539</v>
      </c>
      <c r="C107" s="49" t="s">
        <v>540</v>
      </c>
      <c r="D107" s="39" t="s">
        <v>57</v>
      </c>
      <c r="E107" s="55">
        <v>41.14</v>
      </c>
      <c r="F107" s="43"/>
      <c r="G107" s="43">
        <f>E107*F107</f>
        <v>0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0"/>
      <c r="AJ107" s="30"/>
      <c r="AK107" s="30"/>
      <c r="AL107" s="30"/>
      <c r="AM107" s="30"/>
      <c r="AN107" s="30"/>
      <c r="AO107" s="30"/>
      <c r="AP107" s="30"/>
      <c r="AQ107" s="30"/>
      <c r="AR107" s="30"/>
      <c r="AS107" s="30"/>
      <c r="AT107" s="30"/>
      <c r="AU107" s="30"/>
      <c r="AV107" s="30"/>
      <c r="AW107" s="30"/>
      <c r="AX107" s="30"/>
      <c r="AY107" s="30"/>
    </row>
    <row r="108" spans="1:51" outlineLevel="1">
      <c r="A108" s="44"/>
      <c r="B108" s="37"/>
      <c r="C108" s="51" t="s">
        <v>59</v>
      </c>
      <c r="D108" s="41"/>
      <c r="E108" s="57"/>
      <c r="F108" s="43"/>
      <c r="G108" s="43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</row>
    <row r="109" spans="1:51" outlineLevel="1">
      <c r="A109" s="44"/>
      <c r="B109" s="37"/>
      <c r="C109" s="51" t="s">
        <v>541</v>
      </c>
      <c r="D109" s="41"/>
      <c r="E109" s="57">
        <v>41.14</v>
      </c>
      <c r="F109" s="43"/>
      <c r="G109" s="43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</row>
    <row r="110" spans="1:51" outlineLevel="1">
      <c r="A110" s="44"/>
      <c r="B110" s="37"/>
      <c r="C110" s="51" t="s">
        <v>61</v>
      </c>
      <c r="D110" s="41"/>
      <c r="E110" s="57"/>
      <c r="F110" s="43"/>
      <c r="G110" s="43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30"/>
      <c r="AP110" s="30"/>
      <c r="AQ110" s="30"/>
      <c r="AR110" s="30"/>
      <c r="AS110" s="30"/>
      <c r="AT110" s="30"/>
      <c r="AU110" s="30"/>
      <c r="AV110" s="30"/>
      <c r="AW110" s="30"/>
      <c r="AX110" s="30"/>
      <c r="AY110" s="30"/>
    </row>
    <row r="111" spans="1:51" outlineLevel="1">
      <c r="A111" s="44"/>
      <c r="B111" s="37"/>
      <c r="C111" s="51" t="s">
        <v>542</v>
      </c>
      <c r="D111" s="41"/>
      <c r="E111" s="57">
        <v>0</v>
      </c>
      <c r="F111" s="43"/>
      <c r="G111" s="43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0"/>
      <c r="AJ111" s="30"/>
      <c r="AK111" s="30"/>
      <c r="AL111" s="30"/>
      <c r="AM111" s="30"/>
      <c r="AN111" s="30"/>
      <c r="AO111" s="30"/>
      <c r="AP111" s="30"/>
      <c r="AQ111" s="30"/>
      <c r="AR111" s="30"/>
      <c r="AS111" s="30"/>
      <c r="AT111" s="30"/>
      <c r="AU111" s="30"/>
      <c r="AV111" s="30"/>
      <c r="AW111" s="30"/>
      <c r="AX111" s="30"/>
      <c r="AY111" s="30"/>
    </row>
    <row r="112" spans="1:51" ht="22.5" outlineLevel="1">
      <c r="A112" s="44">
        <v>89</v>
      </c>
      <c r="B112" s="37" t="s">
        <v>543</v>
      </c>
      <c r="C112" s="49" t="s">
        <v>544</v>
      </c>
      <c r="D112" s="39" t="s">
        <v>52</v>
      </c>
      <c r="E112" s="55">
        <v>2</v>
      </c>
      <c r="F112" s="43"/>
      <c r="G112" s="43">
        <f>E112*F112</f>
        <v>0</v>
      </c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0"/>
      <c r="AJ112" s="30"/>
      <c r="AK112" s="30"/>
      <c r="AL112" s="30"/>
      <c r="AM112" s="30"/>
      <c r="AN112" s="30"/>
      <c r="AO112" s="30"/>
      <c r="AP112" s="30"/>
      <c r="AQ112" s="30"/>
      <c r="AR112" s="30"/>
      <c r="AS112" s="30"/>
      <c r="AT112" s="30"/>
      <c r="AU112" s="30"/>
      <c r="AV112" s="30"/>
      <c r="AW112" s="30"/>
      <c r="AX112" s="30"/>
      <c r="AY112" s="30"/>
    </row>
    <row r="113" spans="1:51" outlineLevel="1">
      <c r="A113" s="44"/>
      <c r="B113" s="37"/>
      <c r="C113" s="51" t="s">
        <v>545</v>
      </c>
      <c r="D113" s="41"/>
      <c r="E113" s="57"/>
      <c r="F113" s="43"/>
      <c r="G113" s="43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0"/>
      <c r="AJ113" s="30"/>
      <c r="AK113" s="30"/>
      <c r="AL113" s="30"/>
      <c r="AM113" s="30"/>
      <c r="AN113" s="30"/>
      <c r="AO113" s="30"/>
      <c r="AP113" s="30"/>
      <c r="AQ113" s="30"/>
      <c r="AR113" s="30"/>
      <c r="AS113" s="30"/>
      <c r="AT113" s="30"/>
      <c r="AU113" s="30"/>
      <c r="AV113" s="30"/>
      <c r="AW113" s="30"/>
      <c r="AX113" s="30"/>
      <c r="AY113" s="30"/>
    </row>
    <row r="114" spans="1:51" outlineLevel="1">
      <c r="A114" s="44"/>
      <c r="B114" s="37"/>
      <c r="C114" s="51" t="s">
        <v>546</v>
      </c>
      <c r="D114" s="41"/>
      <c r="E114" s="57">
        <v>2</v>
      </c>
      <c r="F114" s="43"/>
      <c r="G114" s="43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0"/>
      <c r="AJ114" s="30"/>
      <c r="AK114" s="30"/>
      <c r="AL114" s="30"/>
      <c r="AM114" s="30"/>
      <c r="AN114" s="30"/>
      <c r="AO114" s="30"/>
      <c r="AP114" s="30"/>
      <c r="AQ114" s="30"/>
      <c r="AR114" s="30"/>
      <c r="AS114" s="30"/>
      <c r="AT114" s="30"/>
      <c r="AU114" s="30"/>
      <c r="AV114" s="30"/>
      <c r="AW114" s="30"/>
      <c r="AX114" s="30"/>
      <c r="AY114" s="30"/>
    </row>
    <row r="115" spans="1:51" ht="22.5" outlineLevel="1">
      <c r="A115" s="44">
        <v>90</v>
      </c>
      <c r="B115" s="37" t="s">
        <v>547</v>
      </c>
      <c r="C115" s="49" t="s">
        <v>548</v>
      </c>
      <c r="D115" s="39" t="s">
        <v>52</v>
      </c>
      <c r="E115" s="55">
        <v>2</v>
      </c>
      <c r="F115" s="43"/>
      <c r="G115" s="43">
        <f>E115*F115</f>
        <v>0</v>
      </c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0"/>
      <c r="AJ115" s="30"/>
      <c r="AK115" s="30"/>
      <c r="AL115" s="30"/>
      <c r="AM115" s="30"/>
      <c r="AN115" s="30"/>
      <c r="AO115" s="30"/>
      <c r="AP115" s="30"/>
      <c r="AQ115" s="30"/>
      <c r="AR115" s="30"/>
      <c r="AS115" s="30"/>
      <c r="AT115" s="30"/>
      <c r="AU115" s="30"/>
      <c r="AV115" s="30"/>
      <c r="AW115" s="30"/>
      <c r="AX115" s="30"/>
      <c r="AY115" s="30"/>
    </row>
    <row r="116" spans="1:51" outlineLevel="1">
      <c r="A116" s="44"/>
      <c r="B116" s="37"/>
      <c r="C116" s="51" t="s">
        <v>545</v>
      </c>
      <c r="D116" s="41"/>
      <c r="E116" s="57"/>
      <c r="F116" s="43"/>
      <c r="G116" s="43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0"/>
      <c r="AJ116" s="30"/>
      <c r="AK116" s="30"/>
      <c r="AL116" s="30"/>
      <c r="AM116" s="30"/>
      <c r="AN116" s="30"/>
      <c r="AO116" s="30"/>
      <c r="AP116" s="30"/>
      <c r="AQ116" s="30"/>
      <c r="AR116" s="30"/>
      <c r="AS116" s="30"/>
      <c r="AT116" s="30"/>
      <c r="AU116" s="30"/>
      <c r="AV116" s="30"/>
      <c r="AW116" s="30"/>
      <c r="AX116" s="30"/>
      <c r="AY116" s="30"/>
    </row>
    <row r="117" spans="1:51" outlineLevel="1">
      <c r="A117" s="44"/>
      <c r="B117" s="37"/>
      <c r="C117" s="51" t="s">
        <v>546</v>
      </c>
      <c r="D117" s="41"/>
      <c r="E117" s="57">
        <v>2</v>
      </c>
      <c r="F117" s="43"/>
      <c r="G117" s="43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0"/>
      <c r="AJ117" s="30"/>
      <c r="AK117" s="30"/>
      <c r="AL117" s="30"/>
      <c r="AM117" s="30"/>
      <c r="AN117" s="30"/>
      <c r="AO117" s="30"/>
      <c r="AP117" s="30"/>
      <c r="AQ117" s="30"/>
      <c r="AR117" s="30"/>
      <c r="AS117" s="30"/>
      <c r="AT117" s="30"/>
      <c r="AU117" s="30"/>
      <c r="AV117" s="30"/>
      <c r="AW117" s="30"/>
      <c r="AX117" s="30"/>
      <c r="AY117" s="30"/>
    </row>
    <row r="118" spans="1:51" outlineLevel="1">
      <c r="A118" s="44">
        <v>91</v>
      </c>
      <c r="B118" s="37" t="s">
        <v>549</v>
      </c>
      <c r="C118" s="49" t="s">
        <v>550</v>
      </c>
      <c r="D118" s="39" t="s">
        <v>57</v>
      </c>
      <c r="E118" s="55">
        <v>190.26900000000001</v>
      </c>
      <c r="F118" s="43"/>
      <c r="G118" s="43">
        <f>E118*F118</f>
        <v>0</v>
      </c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0"/>
      <c r="AJ118" s="30"/>
      <c r="AK118" s="30"/>
      <c r="AL118" s="30"/>
      <c r="AM118" s="30"/>
      <c r="AN118" s="30"/>
      <c r="AO118" s="30"/>
      <c r="AP118" s="30"/>
      <c r="AQ118" s="30"/>
      <c r="AR118" s="30"/>
      <c r="AS118" s="30"/>
      <c r="AT118" s="30"/>
      <c r="AU118" s="30"/>
      <c r="AV118" s="30"/>
      <c r="AW118" s="30"/>
      <c r="AX118" s="30"/>
      <c r="AY118" s="30"/>
    </row>
    <row r="119" spans="1:51" outlineLevel="1">
      <c r="A119" s="44"/>
      <c r="B119" s="37"/>
      <c r="C119" s="51" t="s">
        <v>59</v>
      </c>
      <c r="D119" s="41"/>
      <c r="E119" s="57"/>
      <c r="F119" s="43"/>
      <c r="G119" s="43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0"/>
      <c r="AO119" s="30"/>
      <c r="AP119" s="30"/>
      <c r="AQ119" s="30"/>
      <c r="AR119" s="30"/>
      <c r="AS119" s="30"/>
      <c r="AT119" s="30"/>
      <c r="AU119" s="30"/>
      <c r="AV119" s="30"/>
      <c r="AW119" s="30"/>
      <c r="AX119" s="30"/>
      <c r="AY119" s="30"/>
    </row>
    <row r="120" spans="1:51" outlineLevel="1">
      <c r="A120" s="44"/>
      <c r="B120" s="37"/>
      <c r="C120" s="51" t="s">
        <v>536</v>
      </c>
      <c r="D120" s="41"/>
      <c r="E120" s="57">
        <v>95.86</v>
      </c>
      <c r="F120" s="43"/>
      <c r="G120" s="43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0"/>
      <c r="AJ120" s="30"/>
      <c r="AK120" s="30"/>
      <c r="AL120" s="30"/>
      <c r="AM120" s="30"/>
      <c r="AN120" s="30"/>
      <c r="AO120" s="30"/>
      <c r="AP120" s="30"/>
      <c r="AQ120" s="30"/>
      <c r="AR120" s="30"/>
      <c r="AS120" s="30"/>
      <c r="AT120" s="30"/>
      <c r="AU120" s="30"/>
      <c r="AV120" s="30"/>
      <c r="AW120" s="30"/>
      <c r="AX120" s="30"/>
      <c r="AY120" s="30"/>
    </row>
    <row r="121" spans="1:51" outlineLevel="1">
      <c r="A121" s="44"/>
      <c r="B121" s="37"/>
      <c r="C121" s="51" t="s">
        <v>537</v>
      </c>
      <c r="D121" s="41"/>
      <c r="E121" s="57">
        <v>58.033999999999999</v>
      </c>
      <c r="F121" s="43"/>
      <c r="G121" s="43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0"/>
      <c r="AJ121" s="30"/>
      <c r="AK121" s="30"/>
      <c r="AL121" s="30"/>
      <c r="AM121" s="30"/>
      <c r="AN121" s="30"/>
      <c r="AO121" s="30"/>
      <c r="AP121" s="30"/>
      <c r="AQ121" s="30"/>
      <c r="AR121" s="30"/>
      <c r="AS121" s="30"/>
      <c r="AT121" s="30"/>
      <c r="AU121" s="30"/>
      <c r="AV121" s="30"/>
      <c r="AW121" s="30"/>
      <c r="AX121" s="30"/>
      <c r="AY121" s="30"/>
    </row>
    <row r="122" spans="1:51" outlineLevel="1">
      <c r="A122" s="44"/>
      <c r="B122" s="37"/>
      <c r="C122" s="51" t="s">
        <v>538</v>
      </c>
      <c r="D122" s="41"/>
      <c r="E122" s="57">
        <v>36.375</v>
      </c>
      <c r="F122" s="43"/>
      <c r="G122" s="43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0"/>
      <c r="AJ122" s="30"/>
      <c r="AK122" s="30"/>
      <c r="AL122" s="30"/>
      <c r="AM122" s="30"/>
      <c r="AN122" s="30"/>
      <c r="AO122" s="30"/>
      <c r="AP122" s="30"/>
      <c r="AQ122" s="30"/>
      <c r="AR122" s="30"/>
      <c r="AS122" s="30"/>
      <c r="AT122" s="30"/>
      <c r="AU122" s="30"/>
      <c r="AV122" s="30"/>
      <c r="AW122" s="30"/>
      <c r="AX122" s="30"/>
      <c r="AY122" s="30"/>
    </row>
    <row r="123" spans="1:51" ht="22.5" outlineLevel="1">
      <c r="A123" s="44">
        <v>92</v>
      </c>
      <c r="B123" s="37" t="s">
        <v>551</v>
      </c>
      <c r="C123" s="49" t="s">
        <v>552</v>
      </c>
      <c r="D123" s="39" t="s">
        <v>52</v>
      </c>
      <c r="E123" s="55">
        <v>4</v>
      </c>
      <c r="F123" s="43"/>
      <c r="G123" s="43">
        <f>E123*F123</f>
        <v>0</v>
      </c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0"/>
      <c r="AJ123" s="30"/>
      <c r="AK123" s="30"/>
      <c r="AL123" s="30"/>
      <c r="AM123" s="30"/>
      <c r="AN123" s="30"/>
      <c r="AO123" s="30"/>
      <c r="AP123" s="30"/>
      <c r="AQ123" s="30"/>
      <c r="AR123" s="30"/>
      <c r="AS123" s="30"/>
      <c r="AT123" s="30"/>
      <c r="AU123" s="30"/>
      <c r="AV123" s="30"/>
      <c r="AW123" s="30"/>
      <c r="AX123" s="30"/>
      <c r="AY123" s="30"/>
    </row>
    <row r="124" spans="1:51" outlineLevel="1">
      <c r="A124" s="44"/>
      <c r="B124" s="37"/>
      <c r="C124" s="51" t="s">
        <v>545</v>
      </c>
      <c r="D124" s="41"/>
      <c r="E124" s="57"/>
      <c r="F124" s="43"/>
      <c r="G124" s="43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0"/>
      <c r="AJ124" s="30"/>
      <c r="AK124" s="30"/>
      <c r="AL124" s="30"/>
      <c r="AM124" s="30"/>
      <c r="AN124" s="30"/>
      <c r="AO124" s="30"/>
      <c r="AP124" s="30"/>
      <c r="AQ124" s="30"/>
      <c r="AR124" s="30"/>
      <c r="AS124" s="30"/>
      <c r="AT124" s="30"/>
      <c r="AU124" s="30"/>
      <c r="AV124" s="30"/>
      <c r="AW124" s="30"/>
      <c r="AX124" s="30"/>
      <c r="AY124" s="30"/>
    </row>
    <row r="125" spans="1:51" outlineLevel="1">
      <c r="A125" s="44"/>
      <c r="B125" s="37"/>
      <c r="C125" s="51" t="s">
        <v>553</v>
      </c>
      <c r="D125" s="41"/>
      <c r="E125" s="57">
        <v>4</v>
      </c>
      <c r="F125" s="43"/>
      <c r="G125" s="43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  <c r="AH125" s="30"/>
      <c r="AI125" s="30"/>
      <c r="AJ125" s="30"/>
      <c r="AK125" s="30"/>
      <c r="AL125" s="30"/>
      <c r="AM125" s="30"/>
      <c r="AN125" s="30"/>
      <c r="AO125" s="30"/>
      <c r="AP125" s="30"/>
      <c r="AQ125" s="30"/>
      <c r="AR125" s="30"/>
      <c r="AS125" s="30"/>
      <c r="AT125" s="30"/>
      <c r="AU125" s="30"/>
      <c r="AV125" s="30"/>
      <c r="AW125" s="30"/>
      <c r="AX125" s="30"/>
      <c r="AY125" s="30"/>
    </row>
    <row r="126" spans="1:51" ht="22.5" outlineLevel="1">
      <c r="A126" s="44">
        <v>93</v>
      </c>
      <c r="B126" s="37" t="s">
        <v>554</v>
      </c>
      <c r="C126" s="49" t="s">
        <v>555</v>
      </c>
      <c r="D126" s="39" t="s">
        <v>52</v>
      </c>
      <c r="E126" s="55">
        <v>2</v>
      </c>
      <c r="F126" s="43"/>
      <c r="G126" s="43">
        <f>E126*F126</f>
        <v>0</v>
      </c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</row>
    <row r="127" spans="1:51" outlineLevel="1">
      <c r="A127" s="44"/>
      <c r="B127" s="37"/>
      <c r="C127" s="51" t="s">
        <v>545</v>
      </c>
      <c r="D127" s="41"/>
      <c r="E127" s="57"/>
      <c r="F127" s="43"/>
      <c r="G127" s="43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  <c r="AH127" s="30"/>
      <c r="AI127" s="30"/>
      <c r="AJ127" s="30"/>
      <c r="AK127" s="30"/>
      <c r="AL127" s="30"/>
      <c r="AM127" s="30"/>
      <c r="AN127" s="30"/>
      <c r="AO127" s="30"/>
      <c r="AP127" s="30"/>
      <c r="AQ127" s="30"/>
      <c r="AR127" s="30"/>
      <c r="AS127" s="30"/>
      <c r="AT127" s="30"/>
      <c r="AU127" s="30"/>
      <c r="AV127" s="30"/>
      <c r="AW127" s="30"/>
      <c r="AX127" s="30"/>
      <c r="AY127" s="30"/>
    </row>
    <row r="128" spans="1:51" outlineLevel="1">
      <c r="A128" s="44"/>
      <c r="B128" s="37"/>
      <c r="C128" s="51" t="s">
        <v>546</v>
      </c>
      <c r="D128" s="41"/>
      <c r="E128" s="57">
        <v>2</v>
      </c>
      <c r="F128" s="43"/>
      <c r="G128" s="43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0"/>
      <c r="AS128" s="30"/>
      <c r="AT128" s="30"/>
      <c r="AU128" s="30"/>
      <c r="AV128" s="30"/>
      <c r="AW128" s="30"/>
      <c r="AX128" s="30"/>
      <c r="AY128" s="30"/>
    </row>
    <row r="129" spans="1:51" ht="22.5" outlineLevel="1">
      <c r="A129" s="44">
        <v>94</v>
      </c>
      <c r="B129" s="37" t="s">
        <v>556</v>
      </c>
      <c r="C129" s="49" t="s">
        <v>557</v>
      </c>
      <c r="D129" s="39" t="s">
        <v>52</v>
      </c>
      <c r="E129" s="55">
        <v>2</v>
      </c>
      <c r="F129" s="43"/>
      <c r="G129" s="43">
        <f>E129*F129</f>
        <v>0</v>
      </c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  <c r="AH129" s="30"/>
      <c r="AI129" s="30"/>
      <c r="AJ129" s="30"/>
      <c r="AK129" s="30"/>
      <c r="AL129" s="30"/>
      <c r="AM129" s="30"/>
      <c r="AN129" s="30"/>
      <c r="AO129" s="30"/>
      <c r="AP129" s="30"/>
      <c r="AQ129" s="30"/>
      <c r="AR129" s="30"/>
      <c r="AS129" s="30"/>
      <c r="AT129" s="30"/>
      <c r="AU129" s="30"/>
      <c r="AV129" s="30"/>
      <c r="AW129" s="30"/>
      <c r="AX129" s="30"/>
      <c r="AY129" s="30"/>
    </row>
    <row r="130" spans="1:51" outlineLevel="1">
      <c r="A130" s="44"/>
      <c r="B130" s="37"/>
      <c r="C130" s="51" t="s">
        <v>545</v>
      </c>
      <c r="D130" s="41"/>
      <c r="E130" s="57"/>
      <c r="F130" s="43"/>
      <c r="G130" s="43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  <c r="AG130" s="30"/>
      <c r="AH130" s="30"/>
      <c r="AI130" s="30"/>
      <c r="AJ130" s="30"/>
      <c r="AK130" s="30"/>
      <c r="AL130" s="30"/>
      <c r="AM130" s="30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</row>
    <row r="131" spans="1:51" outlineLevel="1">
      <c r="A131" s="44"/>
      <c r="B131" s="37"/>
      <c r="C131" s="51" t="s">
        <v>546</v>
      </c>
      <c r="D131" s="41"/>
      <c r="E131" s="57">
        <v>2</v>
      </c>
      <c r="F131" s="43"/>
      <c r="G131" s="43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30"/>
      <c r="AG131" s="30"/>
      <c r="AH131" s="30"/>
      <c r="AI131" s="30"/>
      <c r="AJ131" s="30"/>
      <c r="AK131" s="30"/>
      <c r="AL131" s="30"/>
      <c r="AM131" s="30"/>
      <c r="AN131" s="30"/>
      <c r="AO131" s="30"/>
      <c r="AP131" s="30"/>
      <c r="AQ131" s="30"/>
      <c r="AR131" s="30"/>
      <c r="AS131" s="30"/>
      <c r="AT131" s="30"/>
      <c r="AU131" s="30"/>
      <c r="AV131" s="30"/>
      <c r="AW131" s="30"/>
      <c r="AX131" s="30"/>
      <c r="AY131" s="30"/>
    </row>
    <row r="132" spans="1:51" outlineLevel="1">
      <c r="A132" s="44">
        <v>95</v>
      </c>
      <c r="B132" s="37" t="s">
        <v>558</v>
      </c>
      <c r="C132" s="49" t="s">
        <v>559</v>
      </c>
      <c r="D132" s="39" t="s">
        <v>57</v>
      </c>
      <c r="E132" s="55">
        <v>1.2</v>
      </c>
      <c r="F132" s="43"/>
      <c r="G132" s="43">
        <f>E132*F132</f>
        <v>0</v>
      </c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0"/>
      <c r="AJ132" s="30"/>
      <c r="AK132" s="30"/>
      <c r="AL132" s="30"/>
      <c r="AM132" s="30"/>
      <c r="AN132" s="30"/>
      <c r="AO132" s="30"/>
      <c r="AP132" s="30"/>
      <c r="AQ132" s="30"/>
      <c r="AR132" s="30"/>
      <c r="AS132" s="30"/>
      <c r="AT132" s="30"/>
      <c r="AU132" s="30"/>
      <c r="AV132" s="30"/>
      <c r="AW132" s="30"/>
      <c r="AX132" s="30"/>
      <c r="AY132" s="30"/>
    </row>
    <row r="133" spans="1:51" outlineLevel="1">
      <c r="A133" s="44"/>
      <c r="B133" s="37"/>
      <c r="C133" s="51" t="s">
        <v>545</v>
      </c>
      <c r="D133" s="41"/>
      <c r="E133" s="57"/>
      <c r="F133" s="43"/>
      <c r="G133" s="43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0"/>
      <c r="AJ133" s="30"/>
      <c r="AK133" s="30"/>
      <c r="AL133" s="30"/>
      <c r="AM133" s="30"/>
      <c r="AN133" s="30"/>
      <c r="AO133" s="30"/>
      <c r="AP133" s="30"/>
      <c r="AQ133" s="30"/>
      <c r="AR133" s="30"/>
      <c r="AS133" s="30"/>
      <c r="AT133" s="30"/>
      <c r="AU133" s="30"/>
      <c r="AV133" s="30"/>
      <c r="AW133" s="30"/>
      <c r="AX133" s="30"/>
      <c r="AY133" s="30"/>
    </row>
    <row r="134" spans="1:51" outlineLevel="1">
      <c r="A134" s="44"/>
      <c r="B134" s="37"/>
      <c r="C134" s="51" t="s">
        <v>560</v>
      </c>
      <c r="D134" s="41"/>
      <c r="E134" s="57">
        <v>1.2</v>
      </c>
      <c r="F134" s="43"/>
      <c r="G134" s="43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0"/>
      <c r="AJ134" s="30"/>
      <c r="AK134" s="30"/>
      <c r="AL134" s="30"/>
      <c r="AM134" s="30"/>
      <c r="AN134" s="30"/>
      <c r="AO134" s="30"/>
      <c r="AP134" s="30"/>
      <c r="AQ134" s="30"/>
      <c r="AR134" s="30"/>
      <c r="AS134" s="30"/>
      <c r="AT134" s="30"/>
      <c r="AU134" s="30"/>
      <c r="AV134" s="30"/>
      <c r="AW134" s="30"/>
      <c r="AX134" s="30"/>
      <c r="AY134" s="30"/>
    </row>
    <row r="135" spans="1:51" ht="22.5" outlineLevel="1">
      <c r="A135" s="44">
        <v>96</v>
      </c>
      <c r="B135" s="37" t="s">
        <v>561</v>
      </c>
      <c r="C135" s="49" t="s">
        <v>562</v>
      </c>
      <c r="D135" s="39" t="s">
        <v>62</v>
      </c>
      <c r="E135" s="55">
        <v>20.399999999999999</v>
      </c>
      <c r="F135" s="43"/>
      <c r="G135" s="43">
        <f>E135*F135</f>
        <v>0</v>
      </c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0"/>
      <c r="AJ135" s="30"/>
      <c r="AK135" s="30"/>
      <c r="AL135" s="30"/>
      <c r="AM135" s="30"/>
      <c r="AN135" s="30"/>
      <c r="AO135" s="30"/>
      <c r="AP135" s="30"/>
      <c r="AQ135" s="30"/>
      <c r="AR135" s="30"/>
      <c r="AS135" s="30"/>
      <c r="AT135" s="30"/>
      <c r="AU135" s="30"/>
      <c r="AV135" s="30"/>
      <c r="AW135" s="30"/>
      <c r="AX135" s="30"/>
      <c r="AY135" s="30"/>
    </row>
    <row r="136" spans="1:51" outlineLevel="1">
      <c r="A136" s="44"/>
      <c r="B136" s="37"/>
      <c r="C136" s="51" t="s">
        <v>59</v>
      </c>
      <c r="D136" s="41"/>
      <c r="E136" s="57"/>
      <c r="F136" s="43"/>
      <c r="G136" s="43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0"/>
      <c r="AJ136" s="30"/>
      <c r="AK136" s="30"/>
      <c r="AL136" s="30"/>
      <c r="AM136" s="30"/>
      <c r="AN136" s="30"/>
      <c r="AO136" s="30"/>
      <c r="AP136" s="30"/>
      <c r="AQ136" s="30"/>
      <c r="AR136" s="30"/>
      <c r="AS136" s="30"/>
      <c r="AT136" s="30"/>
      <c r="AU136" s="30"/>
      <c r="AV136" s="30"/>
      <c r="AW136" s="30"/>
      <c r="AX136" s="30"/>
      <c r="AY136" s="30"/>
    </row>
    <row r="137" spans="1:51" outlineLevel="1">
      <c r="A137" s="44"/>
      <c r="B137" s="37"/>
      <c r="C137" s="51" t="s">
        <v>563</v>
      </c>
      <c r="D137" s="41"/>
      <c r="E137" s="57">
        <v>20.399999999999999</v>
      </c>
      <c r="F137" s="43"/>
      <c r="G137" s="43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0"/>
      <c r="AJ137" s="30"/>
      <c r="AK137" s="30"/>
      <c r="AL137" s="30"/>
      <c r="AM137" s="30"/>
      <c r="AN137" s="30"/>
      <c r="AO137" s="30"/>
      <c r="AP137" s="30"/>
      <c r="AQ137" s="30"/>
      <c r="AR137" s="30"/>
      <c r="AS137" s="30"/>
      <c r="AT137" s="30"/>
      <c r="AU137" s="30"/>
      <c r="AV137" s="30"/>
      <c r="AW137" s="30"/>
      <c r="AX137" s="30"/>
      <c r="AY137" s="30"/>
    </row>
    <row r="138" spans="1:51" ht="22.5" outlineLevel="1">
      <c r="A138" s="44">
        <v>97</v>
      </c>
      <c r="B138" s="37" t="s">
        <v>564</v>
      </c>
      <c r="C138" s="49" t="s">
        <v>565</v>
      </c>
      <c r="D138" s="39" t="s">
        <v>57</v>
      </c>
      <c r="E138" s="55">
        <v>3</v>
      </c>
      <c r="F138" s="43"/>
      <c r="G138" s="43">
        <f>E138*F138</f>
        <v>0</v>
      </c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0"/>
      <c r="AJ138" s="30"/>
      <c r="AK138" s="30"/>
      <c r="AL138" s="30"/>
      <c r="AM138" s="30"/>
      <c r="AN138" s="30"/>
      <c r="AO138" s="30"/>
      <c r="AP138" s="30"/>
      <c r="AQ138" s="30"/>
      <c r="AR138" s="30"/>
      <c r="AS138" s="30"/>
      <c r="AT138" s="30"/>
      <c r="AU138" s="30"/>
      <c r="AV138" s="30"/>
      <c r="AW138" s="30"/>
      <c r="AX138" s="30"/>
      <c r="AY138" s="30"/>
    </row>
    <row r="139" spans="1:51" outlineLevel="1">
      <c r="A139" s="44"/>
      <c r="B139" s="37"/>
      <c r="C139" s="51" t="s">
        <v>566</v>
      </c>
      <c r="D139" s="41"/>
      <c r="E139" s="57"/>
      <c r="F139" s="43"/>
      <c r="G139" s="43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0"/>
      <c r="AJ139" s="30"/>
      <c r="AK139" s="30"/>
      <c r="AL139" s="30"/>
      <c r="AM139" s="30"/>
      <c r="AN139" s="30"/>
      <c r="AO139" s="30"/>
      <c r="AP139" s="30"/>
      <c r="AQ139" s="30"/>
      <c r="AR139" s="30"/>
      <c r="AS139" s="30"/>
      <c r="AT139" s="30"/>
      <c r="AU139" s="30"/>
      <c r="AV139" s="30"/>
      <c r="AW139" s="30"/>
      <c r="AX139" s="30"/>
      <c r="AY139" s="30"/>
    </row>
    <row r="140" spans="1:51" outlineLevel="1">
      <c r="A140" s="44"/>
      <c r="B140" s="37"/>
      <c r="C140" s="51" t="s">
        <v>567</v>
      </c>
      <c r="D140" s="41"/>
      <c r="E140" s="57">
        <v>3</v>
      </c>
      <c r="F140" s="43"/>
      <c r="G140" s="43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0"/>
      <c r="AJ140" s="30"/>
      <c r="AK140" s="30"/>
      <c r="AL140" s="30"/>
      <c r="AM140" s="30"/>
      <c r="AN140" s="30"/>
      <c r="AO140" s="30"/>
      <c r="AP140" s="30"/>
      <c r="AQ140" s="30"/>
      <c r="AR140" s="30"/>
      <c r="AS140" s="30"/>
      <c r="AT140" s="30"/>
      <c r="AU140" s="30"/>
      <c r="AV140" s="30"/>
      <c r="AW140" s="30"/>
      <c r="AX140" s="30"/>
      <c r="AY140" s="30"/>
    </row>
    <row r="141" spans="1:51" ht="22.5" outlineLevel="1">
      <c r="A141" s="44">
        <v>98</v>
      </c>
      <c r="B141" s="37" t="s">
        <v>568</v>
      </c>
      <c r="C141" s="49" t="s">
        <v>569</v>
      </c>
      <c r="D141" s="39" t="s">
        <v>57</v>
      </c>
      <c r="E141" s="55">
        <v>24.324999999999999</v>
      </c>
      <c r="F141" s="43"/>
      <c r="G141" s="43">
        <f>E141*F141</f>
        <v>0</v>
      </c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0"/>
      <c r="AJ141" s="30"/>
      <c r="AK141" s="30"/>
      <c r="AL141" s="30"/>
      <c r="AM141" s="30"/>
      <c r="AN141" s="30"/>
      <c r="AO141" s="30"/>
      <c r="AP141" s="30"/>
      <c r="AQ141" s="30"/>
      <c r="AR141" s="30"/>
      <c r="AS141" s="30"/>
      <c r="AT141" s="30"/>
      <c r="AU141" s="30"/>
      <c r="AV141" s="30"/>
      <c r="AW141" s="30"/>
      <c r="AX141" s="30"/>
      <c r="AY141" s="30"/>
    </row>
    <row r="142" spans="1:51" outlineLevel="1">
      <c r="A142" s="44"/>
      <c r="B142" s="37"/>
      <c r="C142" s="51" t="s">
        <v>59</v>
      </c>
      <c r="D142" s="41"/>
      <c r="E142" s="57"/>
      <c r="F142" s="43"/>
      <c r="G142" s="43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0"/>
      <c r="AJ142" s="30"/>
      <c r="AK142" s="30"/>
      <c r="AL142" s="30"/>
      <c r="AM142" s="30"/>
      <c r="AN142" s="30"/>
      <c r="AO142" s="30"/>
      <c r="AP142" s="30"/>
      <c r="AQ142" s="30"/>
      <c r="AR142" s="30"/>
      <c r="AS142" s="30"/>
      <c r="AT142" s="30"/>
      <c r="AU142" s="30"/>
      <c r="AV142" s="30"/>
      <c r="AW142" s="30"/>
      <c r="AX142" s="30"/>
      <c r="AY142" s="30"/>
    </row>
    <row r="143" spans="1:51" outlineLevel="1">
      <c r="A143" s="44"/>
      <c r="B143" s="37"/>
      <c r="C143" s="51" t="s">
        <v>570</v>
      </c>
      <c r="D143" s="41"/>
      <c r="E143" s="57">
        <v>22.12</v>
      </c>
      <c r="F143" s="43"/>
      <c r="G143" s="43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</row>
    <row r="144" spans="1:51" outlineLevel="1">
      <c r="A144" s="44"/>
      <c r="B144" s="37"/>
      <c r="C144" s="51" t="s">
        <v>571</v>
      </c>
      <c r="D144" s="41"/>
      <c r="E144" s="57">
        <v>2.2050000000000001</v>
      </c>
      <c r="F144" s="43"/>
      <c r="G144" s="43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</row>
    <row r="145" spans="1:51" outlineLevel="1">
      <c r="A145" s="44"/>
      <c r="B145" s="37"/>
      <c r="C145" s="51" t="s">
        <v>61</v>
      </c>
      <c r="D145" s="41"/>
      <c r="E145" s="57"/>
      <c r="F145" s="43"/>
      <c r="G145" s="43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0"/>
      <c r="AJ145" s="30"/>
      <c r="AK145" s="30"/>
      <c r="AL145" s="30"/>
      <c r="AM145" s="30"/>
      <c r="AN145" s="30"/>
      <c r="AO145" s="30"/>
      <c r="AP145" s="30"/>
      <c r="AQ145" s="30"/>
      <c r="AR145" s="30"/>
      <c r="AS145" s="30"/>
      <c r="AT145" s="30"/>
      <c r="AU145" s="30"/>
      <c r="AV145" s="30"/>
      <c r="AW145" s="30"/>
      <c r="AX145" s="30"/>
      <c r="AY145" s="30"/>
    </row>
    <row r="146" spans="1:51" outlineLevel="1">
      <c r="A146" s="44"/>
      <c r="B146" s="37"/>
      <c r="C146" s="51" t="s">
        <v>572</v>
      </c>
      <c r="D146" s="41"/>
      <c r="E146" s="57">
        <v>0</v>
      </c>
      <c r="F146" s="43"/>
      <c r="G146" s="43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0"/>
      <c r="AJ146" s="30"/>
      <c r="AK146" s="30"/>
      <c r="AL146" s="30"/>
      <c r="AM146" s="30"/>
      <c r="AN146" s="30"/>
      <c r="AO146" s="30"/>
      <c r="AP146" s="30"/>
      <c r="AQ146" s="30"/>
      <c r="AR146" s="30"/>
      <c r="AS146" s="30"/>
      <c r="AT146" s="30"/>
      <c r="AU146" s="30"/>
      <c r="AV146" s="30"/>
      <c r="AW146" s="30"/>
      <c r="AX146" s="30"/>
      <c r="AY146" s="30"/>
    </row>
    <row r="147" spans="1:51" outlineLevel="1">
      <c r="A147" s="44">
        <v>99</v>
      </c>
      <c r="B147" s="37" t="s">
        <v>573</v>
      </c>
      <c r="C147" s="49" t="s">
        <v>574</v>
      </c>
      <c r="D147" s="39" t="s">
        <v>57</v>
      </c>
      <c r="E147" s="55">
        <v>50.05</v>
      </c>
      <c r="F147" s="43"/>
      <c r="G147" s="43">
        <f>E147*F147</f>
        <v>0</v>
      </c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0"/>
      <c r="AJ147" s="30"/>
      <c r="AK147" s="30"/>
      <c r="AL147" s="30"/>
      <c r="AM147" s="30"/>
      <c r="AN147" s="30"/>
      <c r="AO147" s="30"/>
      <c r="AP147" s="30"/>
      <c r="AQ147" s="30"/>
      <c r="AR147" s="30"/>
      <c r="AS147" s="30"/>
      <c r="AT147" s="30"/>
      <c r="AU147" s="30"/>
      <c r="AV147" s="30"/>
      <c r="AW147" s="30"/>
      <c r="AX147" s="30"/>
      <c r="AY147" s="30"/>
    </row>
    <row r="148" spans="1:51" outlineLevel="1">
      <c r="A148" s="44"/>
      <c r="B148" s="37"/>
      <c r="C148" s="51" t="s">
        <v>575</v>
      </c>
      <c r="D148" s="41"/>
      <c r="E148" s="57"/>
      <c r="F148" s="43"/>
      <c r="G148" s="43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0"/>
      <c r="AJ148" s="30"/>
      <c r="AK148" s="30"/>
      <c r="AL148" s="30"/>
      <c r="AM148" s="30"/>
      <c r="AN148" s="30"/>
      <c r="AO148" s="30"/>
      <c r="AP148" s="30"/>
      <c r="AQ148" s="30"/>
      <c r="AR148" s="30"/>
      <c r="AS148" s="30"/>
      <c r="AT148" s="30"/>
      <c r="AU148" s="30"/>
      <c r="AV148" s="30"/>
      <c r="AW148" s="30"/>
      <c r="AX148" s="30"/>
      <c r="AY148" s="30"/>
    </row>
    <row r="149" spans="1:51" outlineLevel="1">
      <c r="A149" s="44"/>
      <c r="B149" s="37"/>
      <c r="C149" s="51" t="s">
        <v>59</v>
      </c>
      <c r="D149" s="41"/>
      <c r="E149" s="57"/>
      <c r="F149" s="43"/>
      <c r="G149" s="43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0"/>
      <c r="AJ149" s="30"/>
      <c r="AK149" s="30"/>
      <c r="AL149" s="30"/>
      <c r="AM149" s="30"/>
      <c r="AN149" s="30"/>
      <c r="AO149" s="30"/>
      <c r="AP149" s="30"/>
      <c r="AQ149" s="30"/>
      <c r="AR149" s="30"/>
      <c r="AS149" s="30"/>
      <c r="AT149" s="30"/>
      <c r="AU149" s="30"/>
      <c r="AV149" s="30"/>
      <c r="AW149" s="30"/>
      <c r="AX149" s="30"/>
      <c r="AY149" s="30"/>
    </row>
    <row r="150" spans="1:51" outlineLevel="1">
      <c r="A150" s="44"/>
      <c r="B150" s="37"/>
      <c r="C150" s="51" t="s">
        <v>149</v>
      </c>
      <c r="D150" s="41"/>
      <c r="E150" s="57">
        <v>10</v>
      </c>
      <c r="F150" s="43"/>
      <c r="G150" s="43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0"/>
      <c r="AJ150" s="30"/>
      <c r="AK150" s="30"/>
      <c r="AL150" s="30"/>
      <c r="AM150" s="30"/>
      <c r="AN150" s="30"/>
      <c r="AO150" s="30"/>
      <c r="AP150" s="30"/>
      <c r="AQ150" s="30"/>
      <c r="AR150" s="30"/>
      <c r="AS150" s="30"/>
      <c r="AT150" s="30"/>
      <c r="AU150" s="30"/>
      <c r="AV150" s="30"/>
      <c r="AW150" s="30"/>
      <c r="AX150" s="30"/>
      <c r="AY150" s="30"/>
    </row>
    <row r="151" spans="1:51" outlineLevel="1">
      <c r="A151" s="44"/>
      <c r="B151" s="37"/>
      <c r="C151" s="51" t="s">
        <v>150</v>
      </c>
      <c r="D151" s="41"/>
      <c r="E151" s="57">
        <v>15</v>
      </c>
      <c r="F151" s="43"/>
      <c r="G151" s="43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</row>
    <row r="152" spans="1:51" outlineLevel="1">
      <c r="A152" s="44"/>
      <c r="B152" s="37"/>
      <c r="C152" s="51" t="s">
        <v>576</v>
      </c>
      <c r="D152" s="41"/>
      <c r="E152" s="57">
        <v>6.6</v>
      </c>
      <c r="F152" s="43"/>
      <c r="G152" s="43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0"/>
      <c r="AJ152" s="30"/>
      <c r="AK152" s="30"/>
      <c r="AL152" s="30"/>
      <c r="AM152" s="30"/>
      <c r="AN152" s="30"/>
      <c r="AO152" s="30"/>
      <c r="AP152" s="30"/>
      <c r="AQ152" s="30"/>
      <c r="AR152" s="30"/>
      <c r="AS152" s="30"/>
      <c r="AT152" s="30"/>
      <c r="AU152" s="30"/>
      <c r="AV152" s="30"/>
      <c r="AW152" s="30"/>
      <c r="AX152" s="30"/>
      <c r="AY152" s="30"/>
    </row>
    <row r="153" spans="1:51" outlineLevel="1">
      <c r="A153" s="44"/>
      <c r="B153" s="37"/>
      <c r="C153" s="51" t="s">
        <v>577</v>
      </c>
      <c r="D153" s="41"/>
      <c r="E153" s="57">
        <v>1.9</v>
      </c>
      <c r="F153" s="43"/>
      <c r="G153" s="43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  <c r="AK153" s="30"/>
      <c r="AL153" s="30"/>
      <c r="AM153" s="30"/>
      <c r="AN153" s="30"/>
      <c r="AO153" s="30"/>
      <c r="AP153" s="30"/>
      <c r="AQ153" s="30"/>
      <c r="AR153" s="30"/>
      <c r="AS153" s="30"/>
      <c r="AT153" s="30"/>
      <c r="AU153" s="30"/>
      <c r="AV153" s="30"/>
      <c r="AW153" s="30"/>
      <c r="AX153" s="30"/>
      <c r="AY153" s="30"/>
    </row>
    <row r="154" spans="1:51" outlineLevel="1">
      <c r="A154" s="44"/>
      <c r="B154" s="37"/>
      <c r="C154" s="51" t="s">
        <v>578</v>
      </c>
      <c r="D154" s="41"/>
      <c r="E154" s="57">
        <v>6.8</v>
      </c>
      <c r="F154" s="43"/>
      <c r="G154" s="43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0"/>
      <c r="AJ154" s="30"/>
      <c r="AK154" s="30"/>
      <c r="AL154" s="30"/>
      <c r="AM154" s="30"/>
      <c r="AN154" s="30"/>
      <c r="AO154" s="30"/>
      <c r="AP154" s="30"/>
      <c r="AQ154" s="30"/>
      <c r="AR154" s="30"/>
      <c r="AS154" s="30"/>
      <c r="AT154" s="30"/>
      <c r="AU154" s="30"/>
      <c r="AV154" s="30"/>
      <c r="AW154" s="30"/>
      <c r="AX154" s="30"/>
      <c r="AY154" s="30"/>
    </row>
    <row r="155" spans="1:51" outlineLevel="1">
      <c r="A155" s="44"/>
      <c r="B155" s="37"/>
      <c r="C155" s="51" t="s">
        <v>579</v>
      </c>
      <c r="D155" s="41"/>
      <c r="E155" s="57">
        <v>1.35</v>
      </c>
      <c r="F155" s="43"/>
      <c r="G155" s="43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0"/>
      <c r="AJ155" s="30"/>
      <c r="AK155" s="30"/>
      <c r="AL155" s="30"/>
      <c r="AM155" s="30"/>
      <c r="AN155" s="30"/>
      <c r="AO155" s="30"/>
      <c r="AP155" s="30"/>
      <c r="AQ155" s="30"/>
      <c r="AR155" s="30"/>
      <c r="AS155" s="30"/>
      <c r="AT155" s="30"/>
      <c r="AU155" s="30"/>
      <c r="AV155" s="30"/>
      <c r="AW155" s="30"/>
      <c r="AX155" s="30"/>
      <c r="AY155" s="30"/>
    </row>
    <row r="156" spans="1:51" outlineLevel="1">
      <c r="A156" s="44"/>
      <c r="B156" s="37"/>
      <c r="C156" s="51" t="s">
        <v>580</v>
      </c>
      <c r="D156" s="41"/>
      <c r="E156" s="57">
        <v>8.4</v>
      </c>
      <c r="F156" s="43"/>
      <c r="G156" s="43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0"/>
      <c r="AJ156" s="30"/>
      <c r="AK156" s="30"/>
      <c r="AL156" s="30"/>
      <c r="AM156" s="30"/>
      <c r="AN156" s="30"/>
      <c r="AO156" s="30"/>
      <c r="AP156" s="30"/>
      <c r="AQ156" s="30"/>
      <c r="AR156" s="30"/>
      <c r="AS156" s="30"/>
      <c r="AT156" s="30"/>
      <c r="AU156" s="30"/>
      <c r="AV156" s="30"/>
      <c r="AW156" s="30"/>
      <c r="AX156" s="30"/>
      <c r="AY156" s="30"/>
    </row>
    <row r="157" spans="1:51" outlineLevel="1">
      <c r="A157" s="44"/>
      <c r="B157" s="37"/>
      <c r="C157" s="51" t="s">
        <v>61</v>
      </c>
      <c r="D157" s="41"/>
      <c r="E157" s="57"/>
      <c r="F157" s="43"/>
      <c r="G157" s="43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0"/>
      <c r="AJ157" s="30"/>
      <c r="AK157" s="30"/>
      <c r="AL157" s="30"/>
      <c r="AM157" s="30"/>
      <c r="AN157" s="30"/>
      <c r="AO157" s="30"/>
      <c r="AP157" s="30"/>
      <c r="AQ157" s="30"/>
      <c r="AR157" s="30"/>
      <c r="AS157" s="30"/>
      <c r="AT157" s="30"/>
      <c r="AU157" s="30"/>
      <c r="AV157" s="30"/>
      <c r="AW157" s="30"/>
      <c r="AX157" s="30"/>
      <c r="AY157" s="30"/>
    </row>
    <row r="158" spans="1:51" outlineLevel="1">
      <c r="A158" s="44"/>
      <c r="B158" s="37"/>
      <c r="C158" s="51" t="s">
        <v>581</v>
      </c>
      <c r="D158" s="41"/>
      <c r="E158" s="57">
        <v>0</v>
      </c>
      <c r="F158" s="43"/>
      <c r="G158" s="43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0"/>
      <c r="AJ158" s="30"/>
      <c r="AK158" s="30"/>
      <c r="AL158" s="30"/>
      <c r="AM158" s="30"/>
      <c r="AN158" s="30"/>
      <c r="AO158" s="30"/>
      <c r="AP158" s="30"/>
      <c r="AQ158" s="30"/>
      <c r="AR158" s="30"/>
      <c r="AS158" s="30"/>
      <c r="AT158" s="30"/>
      <c r="AU158" s="30"/>
      <c r="AV158" s="30"/>
      <c r="AW158" s="30"/>
      <c r="AX158" s="30"/>
      <c r="AY158" s="30"/>
    </row>
    <row r="159" spans="1:51" outlineLevel="1">
      <c r="A159" s="44">
        <v>100</v>
      </c>
      <c r="B159" s="37" t="s">
        <v>582</v>
      </c>
      <c r="C159" s="49" t="s">
        <v>583</v>
      </c>
      <c r="D159" s="39" t="s">
        <v>57</v>
      </c>
      <c r="E159" s="55">
        <v>333.5</v>
      </c>
      <c r="F159" s="43"/>
      <c r="G159" s="43">
        <f>E159*F159</f>
        <v>0</v>
      </c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0"/>
      <c r="AJ159" s="30"/>
      <c r="AK159" s="30"/>
      <c r="AL159" s="30"/>
      <c r="AM159" s="30"/>
      <c r="AN159" s="30"/>
      <c r="AO159" s="30"/>
      <c r="AP159" s="30"/>
      <c r="AQ159" s="30"/>
      <c r="AR159" s="30"/>
      <c r="AS159" s="30"/>
      <c r="AT159" s="30"/>
      <c r="AU159" s="30"/>
      <c r="AV159" s="30"/>
      <c r="AW159" s="30"/>
      <c r="AX159" s="30"/>
      <c r="AY159" s="30"/>
    </row>
    <row r="160" spans="1:51" outlineLevel="1">
      <c r="A160" s="44"/>
      <c r="B160" s="37"/>
      <c r="C160" s="51" t="s">
        <v>59</v>
      </c>
      <c r="D160" s="41"/>
      <c r="E160" s="57"/>
      <c r="F160" s="43"/>
      <c r="G160" s="43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0"/>
      <c r="AJ160" s="30"/>
      <c r="AK160" s="30"/>
      <c r="AL160" s="30"/>
      <c r="AM160" s="30"/>
      <c r="AN160" s="30"/>
      <c r="AO160" s="30"/>
      <c r="AP160" s="30"/>
      <c r="AQ160" s="30"/>
      <c r="AR160" s="30"/>
      <c r="AS160" s="30"/>
      <c r="AT160" s="30"/>
      <c r="AU160" s="30"/>
      <c r="AV160" s="30"/>
      <c r="AW160" s="30"/>
      <c r="AX160" s="30"/>
      <c r="AY160" s="30"/>
    </row>
    <row r="161" spans="1:51" outlineLevel="1">
      <c r="A161" s="44"/>
      <c r="B161" s="37"/>
      <c r="C161" s="51" t="s">
        <v>584</v>
      </c>
      <c r="D161" s="41"/>
      <c r="E161" s="57">
        <v>15.15</v>
      </c>
      <c r="F161" s="43"/>
      <c r="G161" s="43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0"/>
      <c r="AJ161" s="30"/>
      <c r="AK161" s="30"/>
      <c r="AL161" s="30"/>
      <c r="AM161" s="30"/>
      <c r="AN161" s="30"/>
      <c r="AO161" s="30"/>
      <c r="AP161" s="30"/>
      <c r="AQ161" s="30"/>
      <c r="AR161" s="30"/>
      <c r="AS161" s="30"/>
      <c r="AT161" s="30"/>
      <c r="AU161" s="30"/>
      <c r="AV161" s="30"/>
      <c r="AW161" s="30"/>
      <c r="AX161" s="30"/>
      <c r="AY161" s="30"/>
    </row>
    <row r="162" spans="1:51" outlineLevel="1">
      <c r="A162" s="44"/>
      <c r="B162" s="37"/>
      <c r="C162" s="51" t="s">
        <v>585</v>
      </c>
      <c r="D162" s="41"/>
      <c r="E162" s="57">
        <v>19.350000000000001</v>
      </c>
      <c r="F162" s="43"/>
      <c r="G162" s="43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0"/>
      <c r="AJ162" s="30"/>
      <c r="AK162" s="30"/>
      <c r="AL162" s="30"/>
      <c r="AM162" s="30"/>
      <c r="AN162" s="30"/>
      <c r="AO162" s="30"/>
      <c r="AP162" s="30"/>
      <c r="AQ162" s="30"/>
      <c r="AR162" s="30"/>
      <c r="AS162" s="30"/>
      <c r="AT162" s="30"/>
      <c r="AU162" s="30"/>
      <c r="AV162" s="30"/>
      <c r="AW162" s="30"/>
      <c r="AX162" s="30"/>
      <c r="AY162" s="30"/>
    </row>
    <row r="163" spans="1:51" outlineLevel="1">
      <c r="A163" s="44"/>
      <c r="B163" s="37"/>
      <c r="C163" s="51" t="s">
        <v>586</v>
      </c>
      <c r="D163" s="41"/>
      <c r="E163" s="57">
        <v>39.9</v>
      </c>
      <c r="F163" s="43"/>
      <c r="G163" s="43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0"/>
      <c r="AJ163" s="30"/>
      <c r="AK163" s="30"/>
      <c r="AL163" s="30"/>
      <c r="AM163" s="30"/>
      <c r="AN163" s="30"/>
      <c r="AO163" s="30"/>
      <c r="AP163" s="30"/>
      <c r="AQ163" s="30"/>
      <c r="AR163" s="30"/>
      <c r="AS163" s="30"/>
      <c r="AT163" s="30"/>
      <c r="AU163" s="30"/>
      <c r="AV163" s="30"/>
      <c r="AW163" s="30"/>
      <c r="AX163" s="30"/>
      <c r="AY163" s="30"/>
    </row>
    <row r="164" spans="1:51" outlineLevel="1">
      <c r="A164" s="44"/>
      <c r="B164" s="37"/>
      <c r="C164" s="51" t="s">
        <v>587</v>
      </c>
      <c r="D164" s="41"/>
      <c r="E164" s="57">
        <v>5.8</v>
      </c>
      <c r="F164" s="43"/>
      <c r="G164" s="43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0"/>
      <c r="AJ164" s="30"/>
      <c r="AK164" s="30"/>
      <c r="AL164" s="30"/>
      <c r="AM164" s="30"/>
      <c r="AN164" s="30"/>
      <c r="AO164" s="30"/>
      <c r="AP164" s="30"/>
      <c r="AQ164" s="30"/>
      <c r="AR164" s="30"/>
      <c r="AS164" s="30"/>
      <c r="AT164" s="30"/>
      <c r="AU164" s="30"/>
      <c r="AV164" s="30"/>
      <c r="AW164" s="30"/>
      <c r="AX164" s="30"/>
      <c r="AY164" s="30"/>
    </row>
    <row r="165" spans="1:51" outlineLevel="1">
      <c r="A165" s="44"/>
      <c r="B165" s="37"/>
      <c r="C165" s="51" t="s">
        <v>588</v>
      </c>
      <c r="D165" s="41"/>
      <c r="E165" s="57">
        <v>9.6</v>
      </c>
      <c r="F165" s="43"/>
      <c r="G165" s="43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0"/>
      <c r="AJ165" s="30"/>
      <c r="AK165" s="30"/>
      <c r="AL165" s="30"/>
      <c r="AM165" s="30"/>
      <c r="AN165" s="30"/>
      <c r="AO165" s="30"/>
      <c r="AP165" s="30"/>
      <c r="AQ165" s="30"/>
      <c r="AR165" s="30"/>
      <c r="AS165" s="30"/>
      <c r="AT165" s="30"/>
      <c r="AU165" s="30"/>
      <c r="AV165" s="30"/>
      <c r="AW165" s="30"/>
      <c r="AX165" s="30"/>
      <c r="AY165" s="30"/>
    </row>
    <row r="166" spans="1:51" outlineLevel="1">
      <c r="A166" s="44"/>
      <c r="B166" s="37"/>
      <c r="C166" s="51" t="s">
        <v>589</v>
      </c>
      <c r="D166" s="41"/>
      <c r="E166" s="57">
        <v>4.2</v>
      </c>
      <c r="F166" s="43"/>
      <c r="G166" s="43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0"/>
      <c r="AJ166" s="30"/>
      <c r="AK166" s="30"/>
      <c r="AL166" s="30"/>
      <c r="AM166" s="30"/>
      <c r="AN166" s="30"/>
      <c r="AO166" s="30"/>
      <c r="AP166" s="30"/>
      <c r="AQ166" s="30"/>
      <c r="AR166" s="30"/>
      <c r="AS166" s="30"/>
      <c r="AT166" s="30"/>
      <c r="AU166" s="30"/>
      <c r="AV166" s="30"/>
      <c r="AW166" s="30"/>
      <c r="AX166" s="30"/>
      <c r="AY166" s="30"/>
    </row>
    <row r="167" spans="1:51" outlineLevel="1">
      <c r="A167" s="44"/>
      <c r="B167" s="37"/>
      <c r="C167" s="51" t="s">
        <v>590</v>
      </c>
      <c r="D167" s="41"/>
      <c r="E167" s="57">
        <v>4.3</v>
      </c>
      <c r="F167" s="43"/>
      <c r="G167" s="43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0"/>
      <c r="AJ167" s="30"/>
      <c r="AK167" s="30"/>
      <c r="AL167" s="30"/>
      <c r="AM167" s="30"/>
      <c r="AN167" s="30"/>
      <c r="AO167" s="30"/>
      <c r="AP167" s="30"/>
      <c r="AQ167" s="30"/>
      <c r="AR167" s="30"/>
      <c r="AS167" s="30"/>
      <c r="AT167" s="30"/>
      <c r="AU167" s="30"/>
      <c r="AV167" s="30"/>
      <c r="AW167" s="30"/>
      <c r="AX167" s="30"/>
      <c r="AY167" s="30"/>
    </row>
    <row r="168" spans="1:51" outlineLevel="1">
      <c r="A168" s="44"/>
      <c r="B168" s="37"/>
      <c r="C168" s="51" t="s">
        <v>591</v>
      </c>
      <c r="D168" s="41"/>
      <c r="E168" s="57">
        <v>3.72</v>
      </c>
      <c r="F168" s="43"/>
      <c r="G168" s="43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0"/>
      <c r="AJ168" s="30"/>
      <c r="AK168" s="30"/>
      <c r="AL168" s="30"/>
      <c r="AM168" s="30"/>
      <c r="AN168" s="30"/>
      <c r="AO168" s="30"/>
      <c r="AP168" s="30"/>
      <c r="AQ168" s="30"/>
      <c r="AR168" s="30"/>
      <c r="AS168" s="30"/>
      <c r="AT168" s="30"/>
      <c r="AU168" s="30"/>
      <c r="AV168" s="30"/>
      <c r="AW168" s="30"/>
      <c r="AX168" s="30"/>
      <c r="AY168" s="30"/>
    </row>
    <row r="169" spans="1:51" outlineLevel="1">
      <c r="A169" s="44"/>
      <c r="B169" s="37"/>
      <c r="C169" s="51" t="s">
        <v>592</v>
      </c>
      <c r="D169" s="41"/>
      <c r="E169" s="57">
        <v>20.309999999999999</v>
      </c>
      <c r="F169" s="43"/>
      <c r="G169" s="43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0"/>
      <c r="AJ169" s="30"/>
      <c r="AK169" s="30"/>
      <c r="AL169" s="30"/>
      <c r="AM169" s="30"/>
      <c r="AN169" s="30"/>
      <c r="AO169" s="30"/>
      <c r="AP169" s="30"/>
      <c r="AQ169" s="30"/>
      <c r="AR169" s="30"/>
      <c r="AS169" s="30"/>
      <c r="AT169" s="30"/>
      <c r="AU169" s="30"/>
      <c r="AV169" s="30"/>
      <c r="AW169" s="30"/>
      <c r="AX169" s="30"/>
      <c r="AY169" s="30"/>
    </row>
    <row r="170" spans="1:51" outlineLevel="1">
      <c r="A170" s="44"/>
      <c r="B170" s="37"/>
      <c r="C170" s="51" t="s">
        <v>593</v>
      </c>
      <c r="D170" s="41"/>
      <c r="E170" s="57">
        <v>83.82</v>
      </c>
      <c r="F170" s="43"/>
      <c r="G170" s="43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0"/>
      <c r="AJ170" s="30"/>
      <c r="AK170" s="30"/>
      <c r="AL170" s="30"/>
      <c r="AM170" s="30"/>
      <c r="AN170" s="30"/>
      <c r="AO170" s="30"/>
      <c r="AP170" s="30"/>
      <c r="AQ170" s="30"/>
      <c r="AR170" s="30"/>
      <c r="AS170" s="30"/>
      <c r="AT170" s="30"/>
      <c r="AU170" s="30"/>
      <c r="AV170" s="30"/>
      <c r="AW170" s="30"/>
      <c r="AX170" s="30"/>
      <c r="AY170" s="30"/>
    </row>
    <row r="171" spans="1:51" outlineLevel="1">
      <c r="A171" s="44"/>
      <c r="B171" s="37"/>
      <c r="C171" s="51" t="s">
        <v>594</v>
      </c>
      <c r="D171" s="41"/>
      <c r="E171" s="57">
        <v>97.2</v>
      </c>
      <c r="F171" s="43"/>
      <c r="G171" s="43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0"/>
      <c r="AJ171" s="30"/>
      <c r="AK171" s="30"/>
      <c r="AL171" s="30"/>
      <c r="AM171" s="30"/>
      <c r="AN171" s="30"/>
      <c r="AO171" s="30"/>
      <c r="AP171" s="30"/>
      <c r="AQ171" s="30"/>
      <c r="AR171" s="30"/>
      <c r="AS171" s="30"/>
      <c r="AT171" s="30"/>
      <c r="AU171" s="30"/>
      <c r="AV171" s="30"/>
      <c r="AW171" s="30"/>
      <c r="AX171" s="30"/>
      <c r="AY171" s="30"/>
    </row>
    <row r="172" spans="1:51" outlineLevel="1">
      <c r="A172" s="44"/>
      <c r="B172" s="37"/>
      <c r="C172" s="51" t="s">
        <v>595</v>
      </c>
      <c r="D172" s="41"/>
      <c r="E172" s="57">
        <v>13.2</v>
      </c>
      <c r="F172" s="43"/>
      <c r="G172" s="43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0"/>
      <c r="AJ172" s="30"/>
      <c r="AK172" s="30"/>
      <c r="AL172" s="30"/>
      <c r="AM172" s="30"/>
      <c r="AN172" s="30"/>
      <c r="AO172" s="30"/>
      <c r="AP172" s="30"/>
      <c r="AQ172" s="30"/>
      <c r="AR172" s="30"/>
      <c r="AS172" s="30"/>
      <c r="AT172" s="30"/>
      <c r="AU172" s="30"/>
      <c r="AV172" s="30"/>
      <c r="AW172" s="30"/>
      <c r="AX172" s="30"/>
      <c r="AY172" s="30"/>
    </row>
    <row r="173" spans="1:51" outlineLevel="1">
      <c r="A173" s="44"/>
      <c r="B173" s="37"/>
      <c r="C173" s="51" t="s">
        <v>596</v>
      </c>
      <c r="D173" s="41"/>
      <c r="E173" s="57">
        <v>16.95</v>
      </c>
      <c r="F173" s="43"/>
      <c r="G173" s="43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0"/>
      <c r="AJ173" s="30"/>
      <c r="AK173" s="30"/>
      <c r="AL173" s="30"/>
      <c r="AM173" s="30"/>
      <c r="AN173" s="30"/>
      <c r="AO173" s="30"/>
      <c r="AP173" s="30"/>
      <c r="AQ173" s="30"/>
      <c r="AR173" s="30"/>
      <c r="AS173" s="30"/>
      <c r="AT173" s="30"/>
      <c r="AU173" s="30"/>
      <c r="AV173" s="30"/>
      <c r="AW173" s="30"/>
      <c r="AX173" s="30"/>
      <c r="AY173" s="30"/>
    </row>
    <row r="174" spans="1:51" outlineLevel="1">
      <c r="A174" s="44"/>
      <c r="B174" s="37"/>
      <c r="C174" s="51" t="s">
        <v>61</v>
      </c>
      <c r="D174" s="41"/>
      <c r="E174" s="57"/>
      <c r="F174" s="43"/>
      <c r="G174" s="43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0"/>
      <c r="AJ174" s="30"/>
      <c r="AK174" s="30"/>
      <c r="AL174" s="30"/>
      <c r="AM174" s="30"/>
      <c r="AN174" s="30"/>
      <c r="AO174" s="30"/>
      <c r="AP174" s="30"/>
      <c r="AQ174" s="30"/>
      <c r="AR174" s="30"/>
      <c r="AS174" s="30"/>
      <c r="AT174" s="30"/>
      <c r="AU174" s="30"/>
      <c r="AV174" s="30"/>
      <c r="AW174" s="30"/>
      <c r="AX174" s="30"/>
      <c r="AY174" s="30"/>
    </row>
    <row r="175" spans="1:51" outlineLevel="1">
      <c r="A175" s="44"/>
      <c r="B175" s="37"/>
      <c r="C175" s="51" t="s">
        <v>597</v>
      </c>
      <c r="D175" s="41"/>
      <c r="E175" s="57">
        <v>0</v>
      </c>
      <c r="F175" s="43"/>
      <c r="G175" s="43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0"/>
      <c r="AJ175" s="30"/>
      <c r="AK175" s="30"/>
      <c r="AL175" s="30"/>
      <c r="AM175" s="30"/>
      <c r="AN175" s="30"/>
      <c r="AO175" s="30"/>
      <c r="AP175" s="30"/>
      <c r="AQ175" s="30"/>
      <c r="AR175" s="30"/>
      <c r="AS175" s="30"/>
      <c r="AT175" s="30"/>
      <c r="AU175" s="30"/>
      <c r="AV175" s="30"/>
      <c r="AW175" s="30"/>
      <c r="AX175" s="30"/>
      <c r="AY175" s="30"/>
    </row>
    <row r="176" spans="1:51" outlineLevel="1">
      <c r="A176" s="44"/>
      <c r="B176" s="37"/>
      <c r="C176" s="51" t="s">
        <v>598</v>
      </c>
      <c r="D176" s="41"/>
      <c r="E176" s="57">
        <v>0</v>
      </c>
      <c r="F176" s="43"/>
      <c r="G176" s="43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  <c r="AH176" s="30"/>
      <c r="AI176" s="30"/>
      <c r="AJ176" s="30"/>
      <c r="AK176" s="30"/>
      <c r="AL176" s="30"/>
      <c r="AM176" s="30"/>
      <c r="AN176" s="30"/>
      <c r="AO176" s="30"/>
      <c r="AP176" s="30"/>
      <c r="AQ176" s="30"/>
      <c r="AR176" s="30"/>
      <c r="AS176" s="30"/>
      <c r="AT176" s="30"/>
      <c r="AU176" s="30"/>
      <c r="AV176" s="30"/>
      <c r="AW176" s="30"/>
      <c r="AX176" s="30"/>
      <c r="AY176" s="30"/>
    </row>
    <row r="177" spans="1:51" outlineLevel="1">
      <c r="A177" s="44"/>
      <c r="B177" s="37"/>
      <c r="C177" s="51" t="s">
        <v>599</v>
      </c>
      <c r="D177" s="41"/>
      <c r="E177" s="57">
        <v>0</v>
      </c>
      <c r="F177" s="43"/>
      <c r="G177" s="43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</row>
    <row r="178" spans="1:51" outlineLevel="1">
      <c r="A178" s="44"/>
      <c r="B178" s="37"/>
      <c r="C178" s="51" t="s">
        <v>600</v>
      </c>
      <c r="D178" s="41"/>
      <c r="E178" s="57">
        <v>0</v>
      </c>
      <c r="F178" s="43"/>
      <c r="G178" s="43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</row>
    <row r="179" spans="1:51" outlineLevel="1">
      <c r="A179" s="44"/>
      <c r="B179" s="37"/>
      <c r="C179" s="51" t="s">
        <v>601</v>
      </c>
      <c r="D179" s="41"/>
      <c r="E179" s="57">
        <v>0</v>
      </c>
      <c r="F179" s="43"/>
      <c r="G179" s="43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</row>
    <row r="180" spans="1:51" outlineLevel="1">
      <c r="A180" s="44"/>
      <c r="B180" s="37"/>
      <c r="C180" s="51" t="s">
        <v>602</v>
      </c>
      <c r="D180" s="41"/>
      <c r="E180" s="57"/>
      <c r="F180" s="43"/>
      <c r="G180" s="43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</row>
    <row r="181" spans="1:51" outlineLevel="1">
      <c r="A181" s="44"/>
      <c r="B181" s="37"/>
      <c r="C181" s="51" t="s">
        <v>603</v>
      </c>
      <c r="D181" s="41"/>
      <c r="E181" s="57">
        <v>0</v>
      </c>
      <c r="F181" s="43"/>
      <c r="G181" s="43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</row>
    <row r="182" spans="1:51" ht="22.5" outlineLevel="1">
      <c r="A182" s="44">
        <v>101</v>
      </c>
      <c r="B182" s="37" t="s">
        <v>604</v>
      </c>
      <c r="C182" s="49" t="s">
        <v>605</v>
      </c>
      <c r="D182" s="39" t="s">
        <v>57</v>
      </c>
      <c r="E182" s="55">
        <v>200.11199999999999</v>
      </c>
      <c r="F182" s="43"/>
      <c r="G182" s="43">
        <f>E182*F182</f>
        <v>0</v>
      </c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</row>
    <row r="183" spans="1:51" ht="27" customHeight="1" outlineLevel="1">
      <c r="A183" s="44"/>
      <c r="B183" s="37"/>
      <c r="C183" s="326" t="s">
        <v>606</v>
      </c>
      <c r="D183" s="383"/>
      <c r="E183" s="383"/>
      <c r="F183" s="383"/>
      <c r="G183" s="384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6" t="str">
        <f>C183</f>
        <v>přechody materiálů, kouty, rohy.</v>
      </c>
      <c r="AS183" s="30"/>
      <c r="AT183" s="30"/>
      <c r="AU183" s="30"/>
      <c r="AV183" s="30"/>
      <c r="AW183" s="30"/>
      <c r="AX183" s="30"/>
      <c r="AY183" s="30"/>
    </row>
    <row r="184" spans="1:51" outlineLevel="1">
      <c r="A184" s="44"/>
      <c r="B184" s="37"/>
      <c r="C184" s="51" t="s">
        <v>607</v>
      </c>
      <c r="D184" s="41"/>
      <c r="E184" s="57">
        <v>200.11199999999999</v>
      </c>
      <c r="F184" s="43"/>
      <c r="G184" s="43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</row>
    <row r="185" spans="1:51" outlineLevel="1">
      <c r="A185" s="44">
        <v>102</v>
      </c>
      <c r="B185" s="37" t="s">
        <v>608</v>
      </c>
      <c r="C185" s="49" t="s">
        <v>609</v>
      </c>
      <c r="D185" s="39" t="s">
        <v>57</v>
      </c>
      <c r="E185" s="55">
        <v>6.52</v>
      </c>
      <c r="F185" s="43"/>
      <c r="G185" s="43">
        <f>E185*F185</f>
        <v>0</v>
      </c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</row>
    <row r="186" spans="1:51" outlineLevel="1">
      <c r="A186" s="44"/>
      <c r="B186" s="37"/>
      <c r="C186" s="51" t="s">
        <v>59</v>
      </c>
      <c r="D186" s="41"/>
      <c r="E186" s="57"/>
      <c r="F186" s="43"/>
      <c r="G186" s="43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  <c r="AH186" s="30"/>
      <c r="AI186" s="30"/>
      <c r="AJ186" s="30"/>
      <c r="AK186" s="30"/>
      <c r="AL186" s="30"/>
      <c r="AM186" s="30"/>
      <c r="AN186" s="30"/>
      <c r="AO186" s="30"/>
      <c r="AP186" s="30"/>
      <c r="AQ186" s="30"/>
      <c r="AR186" s="30"/>
      <c r="AS186" s="30"/>
      <c r="AT186" s="30"/>
      <c r="AU186" s="30"/>
      <c r="AV186" s="30"/>
      <c r="AW186" s="30"/>
      <c r="AX186" s="30"/>
      <c r="AY186" s="30"/>
    </row>
    <row r="187" spans="1:51" outlineLevel="1">
      <c r="A187" s="44"/>
      <c r="B187" s="37"/>
      <c r="C187" s="51" t="s">
        <v>610</v>
      </c>
      <c r="D187" s="41"/>
      <c r="E187" s="57">
        <v>6.52</v>
      </c>
      <c r="F187" s="43"/>
      <c r="G187" s="43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  <c r="AH187" s="30"/>
      <c r="AI187" s="30"/>
      <c r="AJ187" s="30"/>
      <c r="AK187" s="30"/>
      <c r="AL187" s="30"/>
      <c r="AM187" s="30"/>
      <c r="AN187" s="30"/>
      <c r="AO187" s="30"/>
      <c r="AP187" s="30"/>
      <c r="AQ187" s="30"/>
      <c r="AR187" s="30"/>
      <c r="AS187" s="30"/>
      <c r="AT187" s="30"/>
      <c r="AU187" s="30"/>
      <c r="AV187" s="30"/>
      <c r="AW187" s="30"/>
      <c r="AX187" s="30"/>
      <c r="AY187" s="30"/>
    </row>
    <row r="188" spans="1:51" ht="22.5" outlineLevel="1">
      <c r="A188" s="44">
        <v>103</v>
      </c>
      <c r="B188" s="37" t="s">
        <v>611</v>
      </c>
      <c r="C188" s="49" t="s">
        <v>612</v>
      </c>
      <c r="D188" s="39" t="s">
        <v>151</v>
      </c>
      <c r="E188" s="55">
        <v>146.96</v>
      </c>
      <c r="F188" s="43"/>
      <c r="G188" s="43">
        <f>E188*F188</f>
        <v>0</v>
      </c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  <c r="AH188" s="30"/>
      <c r="AI188" s="30"/>
      <c r="AJ188" s="30"/>
      <c r="AK188" s="30"/>
      <c r="AL188" s="30"/>
      <c r="AM188" s="30"/>
      <c r="AN188" s="30"/>
      <c r="AO188" s="30"/>
      <c r="AP188" s="30"/>
      <c r="AQ188" s="30"/>
      <c r="AR188" s="30"/>
      <c r="AS188" s="30"/>
      <c r="AT188" s="30"/>
      <c r="AU188" s="30"/>
      <c r="AV188" s="30"/>
      <c r="AW188" s="30"/>
      <c r="AX188" s="30"/>
      <c r="AY188" s="30"/>
    </row>
    <row r="189" spans="1:51" ht="45" customHeight="1" outlineLevel="1">
      <c r="A189" s="44"/>
      <c r="B189" s="37"/>
      <c r="C189" s="326" t="s">
        <v>613</v>
      </c>
      <c r="D189" s="383"/>
      <c r="E189" s="383"/>
      <c r="F189" s="383"/>
      <c r="G189" s="384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  <c r="AH189" s="30"/>
      <c r="AI189" s="30"/>
      <c r="AJ189" s="30"/>
      <c r="AK189" s="30"/>
      <c r="AL189" s="30"/>
      <c r="AM189" s="30"/>
      <c r="AN189" s="30"/>
      <c r="AO189" s="30"/>
      <c r="AP189" s="30"/>
      <c r="AQ189" s="30"/>
      <c r="AR189" s="36" t="str">
        <f>C189</f>
        <v>Dodávka a montáž v kompletní skladbě daného systému,  včetně všech doplňkových a pomocných konstrukcí materiálů a prací</v>
      </c>
      <c r="AS189" s="30"/>
      <c r="AT189" s="30"/>
      <c r="AU189" s="30"/>
      <c r="AV189" s="30"/>
      <c r="AW189" s="30"/>
      <c r="AX189" s="30"/>
      <c r="AY189" s="30"/>
    </row>
    <row r="190" spans="1:51" outlineLevel="1">
      <c r="A190" s="44"/>
      <c r="B190" s="37"/>
      <c r="C190" s="51" t="s">
        <v>614</v>
      </c>
      <c r="D190" s="41"/>
      <c r="E190" s="57">
        <v>146.96</v>
      </c>
      <c r="F190" s="43"/>
      <c r="G190" s="43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  <c r="AH190" s="30"/>
      <c r="AI190" s="30"/>
      <c r="AJ190" s="30"/>
      <c r="AK190" s="30"/>
      <c r="AL190" s="30"/>
      <c r="AM190" s="30"/>
      <c r="AN190" s="30"/>
      <c r="AO190" s="30"/>
      <c r="AP190" s="30"/>
      <c r="AQ190" s="30"/>
      <c r="AR190" s="30"/>
      <c r="AS190" s="30"/>
      <c r="AT190" s="30"/>
      <c r="AU190" s="30"/>
      <c r="AV190" s="30"/>
      <c r="AW190" s="30"/>
      <c r="AX190" s="30"/>
      <c r="AY190" s="30"/>
    </row>
    <row r="191" spans="1:51">
      <c r="A191" s="45" t="s">
        <v>49</v>
      </c>
      <c r="B191" s="38" t="s">
        <v>615</v>
      </c>
      <c r="C191" s="50" t="s">
        <v>616</v>
      </c>
      <c r="D191" s="40"/>
      <c r="E191" s="56"/>
      <c r="F191" s="330">
        <f>SUM(G192:G243)</f>
        <v>0</v>
      </c>
      <c r="G191" s="331"/>
    </row>
    <row r="192" spans="1:51" outlineLevel="1">
      <c r="A192" s="44">
        <v>114</v>
      </c>
      <c r="B192" s="37" t="s">
        <v>617</v>
      </c>
      <c r="C192" s="49" t="s">
        <v>618</v>
      </c>
      <c r="D192" s="39" t="s">
        <v>55</v>
      </c>
      <c r="E192" s="55">
        <v>39.832320000000003</v>
      </c>
      <c r="F192" s="43"/>
      <c r="G192" s="43">
        <f>E192*F192</f>
        <v>0</v>
      </c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/>
      <c r="AR192" s="30"/>
      <c r="AS192" s="30"/>
      <c r="AT192" s="30"/>
      <c r="AU192" s="30"/>
      <c r="AV192" s="30"/>
      <c r="AW192" s="30"/>
      <c r="AX192" s="30"/>
      <c r="AY192" s="30"/>
    </row>
    <row r="193" spans="1:51" ht="56.25" outlineLevel="1">
      <c r="A193" s="44"/>
      <c r="B193" s="37"/>
      <c r="C193" s="326" t="s">
        <v>619</v>
      </c>
      <c r="D193" s="383"/>
      <c r="E193" s="383"/>
      <c r="F193" s="383"/>
      <c r="G193" s="384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/>
      <c r="AR193" s="36" t="str">
        <f>C193</f>
        <v>Včetně vytvoření dilatačních spár, bez zaplnění.</v>
      </c>
      <c r="AS193" s="30"/>
      <c r="AT193" s="30"/>
      <c r="AU193" s="30"/>
      <c r="AV193" s="30"/>
      <c r="AW193" s="30"/>
      <c r="AX193" s="30"/>
      <c r="AY193" s="30"/>
    </row>
    <row r="194" spans="1:51" outlineLevel="1">
      <c r="A194" s="44"/>
      <c r="B194" s="37"/>
      <c r="C194" s="51" t="s">
        <v>620</v>
      </c>
      <c r="D194" s="41"/>
      <c r="E194" s="57"/>
      <c r="F194" s="43"/>
      <c r="G194" s="43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/>
      <c r="AR194" s="30"/>
      <c r="AS194" s="30"/>
      <c r="AT194" s="30"/>
      <c r="AU194" s="30"/>
      <c r="AV194" s="30"/>
      <c r="AW194" s="30"/>
      <c r="AX194" s="30"/>
      <c r="AY194" s="30"/>
    </row>
    <row r="195" spans="1:51" outlineLevel="1">
      <c r="A195" s="44"/>
      <c r="B195" s="37"/>
      <c r="C195" s="51" t="s">
        <v>621</v>
      </c>
      <c r="D195" s="41"/>
      <c r="E195" s="57">
        <v>39.832299999999996</v>
      </c>
      <c r="F195" s="43"/>
      <c r="G195" s="43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/>
      <c r="AR195" s="30"/>
      <c r="AS195" s="30"/>
      <c r="AT195" s="30"/>
      <c r="AU195" s="30"/>
      <c r="AV195" s="30"/>
      <c r="AW195" s="30"/>
      <c r="AX195" s="30"/>
      <c r="AY195" s="30"/>
    </row>
    <row r="196" spans="1:51" outlineLevel="1">
      <c r="A196" s="44">
        <v>115</v>
      </c>
      <c r="B196" s="37" t="s">
        <v>622</v>
      </c>
      <c r="C196" s="49" t="s">
        <v>623</v>
      </c>
      <c r="D196" s="39" t="s">
        <v>55</v>
      </c>
      <c r="E196" s="55">
        <v>0.55000000000000004</v>
      </c>
      <c r="F196" s="43"/>
      <c r="G196" s="43">
        <f>E196*F196</f>
        <v>0</v>
      </c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</row>
    <row r="197" spans="1:51" outlineLevel="1">
      <c r="A197" s="44"/>
      <c r="B197" s="37"/>
      <c r="C197" s="51" t="s">
        <v>624</v>
      </c>
      <c r="D197" s="41"/>
      <c r="E197" s="57">
        <v>0.55000000000000004</v>
      </c>
      <c r="F197" s="43"/>
      <c r="G197" s="43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</row>
    <row r="198" spans="1:51" outlineLevel="1">
      <c r="A198" s="44">
        <v>116</v>
      </c>
      <c r="B198" s="37" t="s">
        <v>625</v>
      </c>
      <c r="C198" s="49" t="s">
        <v>626</v>
      </c>
      <c r="D198" s="39" t="s">
        <v>55</v>
      </c>
      <c r="E198" s="55">
        <v>0.65</v>
      </c>
      <c r="F198" s="43"/>
      <c r="G198" s="43">
        <f>E198*F198</f>
        <v>0</v>
      </c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</row>
    <row r="199" spans="1:51" outlineLevel="1">
      <c r="A199" s="44"/>
      <c r="B199" s="37"/>
      <c r="C199" s="51" t="s">
        <v>627</v>
      </c>
      <c r="D199" s="41"/>
      <c r="E199" s="57">
        <v>0.65</v>
      </c>
      <c r="F199" s="43"/>
      <c r="G199" s="43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</row>
    <row r="200" spans="1:51" outlineLevel="1">
      <c r="A200" s="44">
        <v>117</v>
      </c>
      <c r="B200" s="37" t="s">
        <v>628</v>
      </c>
      <c r="C200" s="49" t="s">
        <v>629</v>
      </c>
      <c r="D200" s="39" t="s">
        <v>55</v>
      </c>
      <c r="E200" s="55">
        <v>39.83</v>
      </c>
      <c r="F200" s="43"/>
      <c r="G200" s="43">
        <f>E200*F200</f>
        <v>0</v>
      </c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</row>
    <row r="201" spans="1:51" outlineLevel="1">
      <c r="A201" s="44">
        <v>118</v>
      </c>
      <c r="B201" s="37" t="s">
        <v>630</v>
      </c>
      <c r="C201" s="49" t="s">
        <v>631</v>
      </c>
      <c r="D201" s="39" t="s">
        <v>60</v>
      </c>
      <c r="E201" s="55">
        <v>1.4318500000000001</v>
      </c>
      <c r="F201" s="43"/>
      <c r="G201" s="43">
        <f>E201*F201</f>
        <v>0</v>
      </c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/>
      <c r="AR201" s="30"/>
      <c r="AS201" s="30"/>
      <c r="AT201" s="30"/>
      <c r="AU201" s="30"/>
      <c r="AV201" s="30"/>
      <c r="AW201" s="30"/>
      <c r="AX201" s="30"/>
      <c r="AY201" s="30"/>
    </row>
    <row r="202" spans="1:51" outlineLevel="1">
      <c r="A202" s="44"/>
      <c r="B202" s="37"/>
      <c r="C202" s="51" t="s">
        <v>620</v>
      </c>
      <c r="D202" s="41"/>
      <c r="E202" s="57"/>
      <c r="F202" s="43"/>
      <c r="G202" s="43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/>
      <c r="AR202" s="30"/>
      <c r="AS202" s="30"/>
      <c r="AT202" s="30"/>
      <c r="AU202" s="30"/>
      <c r="AV202" s="30"/>
      <c r="AW202" s="30"/>
      <c r="AX202" s="30"/>
      <c r="AY202" s="30"/>
    </row>
    <row r="203" spans="1:51" outlineLevel="1">
      <c r="A203" s="44"/>
      <c r="B203" s="37"/>
      <c r="C203" s="51" t="s">
        <v>632</v>
      </c>
      <c r="D203" s="41"/>
      <c r="E203" s="57">
        <v>1.4319</v>
      </c>
      <c r="F203" s="43"/>
      <c r="G203" s="43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/>
      <c r="AR203" s="30"/>
      <c r="AS203" s="30"/>
      <c r="AT203" s="30"/>
      <c r="AU203" s="30"/>
      <c r="AV203" s="30"/>
      <c r="AW203" s="30"/>
      <c r="AX203" s="30"/>
      <c r="AY203" s="30"/>
    </row>
    <row r="204" spans="1:51" outlineLevel="1">
      <c r="A204" s="44">
        <v>119</v>
      </c>
      <c r="B204" s="37" t="s">
        <v>633</v>
      </c>
      <c r="C204" s="49" t="s">
        <v>634</v>
      </c>
      <c r="D204" s="39" t="s">
        <v>55</v>
      </c>
      <c r="E204" s="55">
        <v>41.176600000000001</v>
      </c>
      <c r="F204" s="43"/>
      <c r="G204" s="43">
        <f>E204*F204</f>
        <v>0</v>
      </c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/>
      <c r="AR204" s="30"/>
      <c r="AS204" s="30"/>
      <c r="AT204" s="30"/>
      <c r="AU204" s="30"/>
      <c r="AV204" s="30"/>
      <c r="AW204" s="30"/>
      <c r="AX204" s="30"/>
      <c r="AY204" s="30"/>
    </row>
    <row r="205" spans="1:51" outlineLevel="1">
      <c r="A205" s="44"/>
      <c r="B205" s="37"/>
      <c r="C205" s="51" t="s">
        <v>635</v>
      </c>
      <c r="D205" s="41"/>
      <c r="E205" s="57"/>
      <c r="F205" s="43"/>
      <c r="G205" s="43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/>
      <c r="AR205" s="30"/>
      <c r="AS205" s="30"/>
      <c r="AT205" s="30"/>
      <c r="AU205" s="30"/>
      <c r="AV205" s="30"/>
      <c r="AW205" s="30"/>
      <c r="AX205" s="30"/>
      <c r="AY205" s="30"/>
    </row>
    <row r="206" spans="1:51" outlineLevel="1">
      <c r="A206" s="44"/>
      <c r="B206" s="37"/>
      <c r="C206" s="51" t="s">
        <v>636</v>
      </c>
      <c r="D206" s="41"/>
      <c r="E206" s="57">
        <v>33.193600000000004</v>
      </c>
      <c r="F206" s="43"/>
      <c r="G206" s="43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/>
      <c r="AR206" s="30"/>
      <c r="AS206" s="30"/>
      <c r="AT206" s="30"/>
      <c r="AU206" s="30"/>
      <c r="AV206" s="30"/>
      <c r="AW206" s="30"/>
      <c r="AX206" s="30"/>
      <c r="AY206" s="30"/>
    </row>
    <row r="207" spans="1:51" outlineLevel="1">
      <c r="A207" s="44"/>
      <c r="B207" s="37"/>
      <c r="C207" s="51" t="s">
        <v>637</v>
      </c>
      <c r="D207" s="41"/>
      <c r="E207" s="57"/>
      <c r="F207" s="43"/>
      <c r="G207" s="43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/>
      <c r="AR207" s="30"/>
      <c r="AS207" s="30"/>
      <c r="AT207" s="30"/>
      <c r="AU207" s="30"/>
      <c r="AV207" s="30"/>
      <c r="AW207" s="30"/>
      <c r="AX207" s="30"/>
      <c r="AY207" s="30"/>
    </row>
    <row r="208" spans="1:51" outlineLevel="1">
      <c r="A208" s="44"/>
      <c r="B208" s="37"/>
      <c r="C208" s="51" t="s">
        <v>638</v>
      </c>
      <c r="D208" s="41"/>
      <c r="E208" s="57">
        <v>5.9580000000000002</v>
      </c>
      <c r="F208" s="43"/>
      <c r="G208" s="43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/>
      <c r="AR208" s="30"/>
      <c r="AS208" s="30"/>
      <c r="AT208" s="30"/>
      <c r="AU208" s="30"/>
      <c r="AV208" s="30"/>
      <c r="AW208" s="30"/>
      <c r="AX208" s="30"/>
      <c r="AY208" s="30"/>
    </row>
    <row r="209" spans="1:51" outlineLevel="1">
      <c r="A209" s="44"/>
      <c r="B209" s="37"/>
      <c r="C209" s="51" t="s">
        <v>639</v>
      </c>
      <c r="D209" s="41"/>
      <c r="E209" s="57"/>
      <c r="F209" s="43"/>
      <c r="G209" s="43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/>
      <c r="AR209" s="30"/>
      <c r="AS209" s="30"/>
      <c r="AT209" s="30"/>
      <c r="AU209" s="30"/>
      <c r="AV209" s="30"/>
      <c r="AW209" s="30"/>
      <c r="AX209" s="30"/>
      <c r="AY209" s="30"/>
    </row>
    <row r="210" spans="1:51" outlineLevel="1">
      <c r="A210" s="44"/>
      <c r="B210" s="37"/>
      <c r="C210" s="51" t="s">
        <v>640</v>
      </c>
      <c r="D210" s="41"/>
      <c r="E210" s="57">
        <v>2.0249999999999999</v>
      </c>
      <c r="F210" s="43"/>
      <c r="G210" s="43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/>
      <c r="AR210" s="30"/>
      <c r="AS210" s="30"/>
      <c r="AT210" s="30"/>
      <c r="AU210" s="30"/>
      <c r="AV210" s="30"/>
      <c r="AW210" s="30"/>
      <c r="AX210" s="30"/>
      <c r="AY210" s="30"/>
    </row>
    <row r="211" spans="1:51" outlineLevel="1">
      <c r="A211" s="44">
        <v>120</v>
      </c>
      <c r="B211" s="37" t="s">
        <v>641</v>
      </c>
      <c r="C211" s="49" t="s">
        <v>642</v>
      </c>
      <c r="D211" s="39" t="s">
        <v>57</v>
      </c>
      <c r="E211" s="55">
        <v>521.79</v>
      </c>
      <c r="F211" s="43"/>
      <c r="G211" s="43">
        <f>E211*F211</f>
        <v>0</v>
      </c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/>
      <c r="AR211" s="30"/>
      <c r="AS211" s="30"/>
      <c r="AT211" s="30"/>
      <c r="AU211" s="30"/>
      <c r="AV211" s="30"/>
      <c r="AW211" s="30"/>
      <c r="AX211" s="30"/>
      <c r="AY211" s="30"/>
    </row>
    <row r="212" spans="1:51" outlineLevel="1">
      <c r="A212" s="44"/>
      <c r="B212" s="37"/>
      <c r="C212" s="51" t="s">
        <v>152</v>
      </c>
      <c r="D212" s="41"/>
      <c r="E212" s="57">
        <v>232.04</v>
      </c>
      <c r="F212" s="43"/>
      <c r="G212" s="43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/>
      <c r="AR212" s="30"/>
      <c r="AS212" s="30"/>
      <c r="AT212" s="30"/>
      <c r="AU212" s="30"/>
      <c r="AV212" s="30"/>
      <c r="AW212" s="30"/>
      <c r="AX212" s="30"/>
      <c r="AY212" s="30"/>
    </row>
    <row r="213" spans="1:51" outlineLevel="1">
      <c r="A213" s="44"/>
      <c r="B213" s="37"/>
      <c r="C213" s="51" t="s">
        <v>153</v>
      </c>
      <c r="D213" s="41"/>
      <c r="E213" s="57">
        <v>9.7899999999999991</v>
      </c>
      <c r="F213" s="43"/>
      <c r="G213" s="43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/>
      <c r="AR213" s="30"/>
      <c r="AS213" s="30"/>
      <c r="AT213" s="30"/>
      <c r="AU213" s="30"/>
      <c r="AV213" s="30"/>
      <c r="AW213" s="30"/>
      <c r="AX213" s="30"/>
      <c r="AY213" s="30"/>
    </row>
    <row r="214" spans="1:51" outlineLevel="1">
      <c r="A214" s="44"/>
      <c r="B214" s="37"/>
      <c r="C214" s="51" t="s">
        <v>154</v>
      </c>
      <c r="D214" s="41"/>
      <c r="E214" s="57">
        <v>6.68</v>
      </c>
      <c r="F214" s="43"/>
      <c r="G214" s="43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/>
      <c r="AR214" s="30"/>
      <c r="AS214" s="30"/>
      <c r="AT214" s="30"/>
      <c r="AU214" s="30"/>
      <c r="AV214" s="30"/>
      <c r="AW214" s="30"/>
      <c r="AX214" s="30"/>
      <c r="AY214" s="30"/>
    </row>
    <row r="215" spans="1:51" outlineLevel="1">
      <c r="A215" s="44"/>
      <c r="B215" s="37"/>
      <c r="C215" s="51" t="s">
        <v>155</v>
      </c>
      <c r="D215" s="41"/>
      <c r="E215" s="57">
        <v>15.75</v>
      </c>
      <c r="F215" s="43"/>
      <c r="G215" s="43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/>
      <c r="AR215" s="30"/>
      <c r="AS215" s="30"/>
      <c r="AT215" s="30"/>
      <c r="AU215" s="30"/>
      <c r="AV215" s="30"/>
      <c r="AW215" s="30"/>
      <c r="AX215" s="30"/>
      <c r="AY215" s="30"/>
    </row>
    <row r="216" spans="1:51" outlineLevel="1">
      <c r="A216" s="44"/>
      <c r="B216" s="37"/>
      <c r="C216" s="51" t="s">
        <v>156</v>
      </c>
      <c r="D216" s="41"/>
      <c r="E216" s="57">
        <v>9.09</v>
      </c>
      <c r="F216" s="43"/>
      <c r="G216" s="43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/>
      <c r="AR216" s="30"/>
      <c r="AS216" s="30"/>
      <c r="AT216" s="30"/>
      <c r="AU216" s="30"/>
      <c r="AV216" s="30"/>
      <c r="AW216" s="30"/>
      <c r="AX216" s="30"/>
      <c r="AY216" s="30"/>
    </row>
    <row r="217" spans="1:51" outlineLevel="1">
      <c r="A217" s="44"/>
      <c r="B217" s="37"/>
      <c r="C217" s="51" t="s">
        <v>643</v>
      </c>
      <c r="D217" s="41"/>
      <c r="E217" s="57">
        <v>248.44</v>
      </c>
      <c r="F217" s="43"/>
      <c r="G217" s="43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/>
      <c r="AR217" s="30"/>
      <c r="AS217" s="30"/>
      <c r="AT217" s="30"/>
      <c r="AU217" s="30"/>
      <c r="AV217" s="30"/>
      <c r="AW217" s="30"/>
      <c r="AX217" s="30"/>
      <c r="AY217" s="30"/>
    </row>
    <row r="218" spans="1:51" outlineLevel="1">
      <c r="A218" s="44">
        <v>121</v>
      </c>
      <c r="B218" s="37" t="s">
        <v>644</v>
      </c>
      <c r="C218" s="49" t="s">
        <v>645</v>
      </c>
      <c r="D218" s="39" t="s">
        <v>57</v>
      </c>
      <c r="E218" s="55">
        <v>779.39</v>
      </c>
      <c r="F218" s="43"/>
      <c r="G218" s="43">
        <f>E218*F218</f>
        <v>0</v>
      </c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/>
      <c r="AR218" s="30"/>
      <c r="AS218" s="30"/>
      <c r="AT218" s="30"/>
      <c r="AU218" s="30"/>
      <c r="AV218" s="30"/>
      <c r="AW218" s="30"/>
      <c r="AX218" s="30"/>
      <c r="AY218" s="30"/>
    </row>
    <row r="219" spans="1:51" outlineLevel="1">
      <c r="A219" s="44"/>
      <c r="B219" s="37"/>
      <c r="C219" s="51" t="s">
        <v>646</v>
      </c>
      <c r="D219" s="41"/>
      <c r="E219" s="57">
        <v>464.08</v>
      </c>
      <c r="F219" s="43"/>
      <c r="G219" s="43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/>
      <c r="AR219" s="30"/>
      <c r="AS219" s="30"/>
      <c r="AT219" s="30"/>
      <c r="AU219" s="30"/>
      <c r="AV219" s="30"/>
      <c r="AW219" s="30"/>
      <c r="AX219" s="30"/>
      <c r="AY219" s="30"/>
    </row>
    <row r="220" spans="1:51" outlineLevel="1">
      <c r="A220" s="44"/>
      <c r="B220" s="37"/>
      <c r="C220" s="51" t="s">
        <v>647</v>
      </c>
      <c r="D220" s="41"/>
      <c r="E220" s="57">
        <v>19.579999999999998</v>
      </c>
      <c r="F220" s="43"/>
      <c r="G220" s="43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/>
      <c r="AR220" s="30"/>
      <c r="AS220" s="30"/>
      <c r="AT220" s="30"/>
      <c r="AU220" s="30"/>
      <c r="AV220" s="30"/>
      <c r="AW220" s="30"/>
      <c r="AX220" s="30"/>
      <c r="AY220" s="30"/>
    </row>
    <row r="221" spans="1:51" outlineLevel="1">
      <c r="A221" s="44"/>
      <c r="B221" s="37"/>
      <c r="C221" s="51" t="s">
        <v>648</v>
      </c>
      <c r="D221" s="41"/>
      <c r="E221" s="57">
        <v>13.36</v>
      </c>
      <c r="F221" s="43"/>
      <c r="G221" s="43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/>
      <c r="AR221" s="30"/>
      <c r="AS221" s="30"/>
      <c r="AT221" s="30"/>
      <c r="AU221" s="30"/>
      <c r="AV221" s="30"/>
      <c r="AW221" s="30"/>
      <c r="AX221" s="30"/>
      <c r="AY221" s="30"/>
    </row>
    <row r="222" spans="1:51" outlineLevel="1">
      <c r="A222" s="44"/>
      <c r="B222" s="37"/>
      <c r="C222" s="51" t="s">
        <v>155</v>
      </c>
      <c r="D222" s="41"/>
      <c r="E222" s="57">
        <v>15.75</v>
      </c>
      <c r="F222" s="43"/>
      <c r="G222" s="43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/>
      <c r="AR222" s="30"/>
      <c r="AS222" s="30"/>
      <c r="AT222" s="30"/>
      <c r="AU222" s="30"/>
      <c r="AV222" s="30"/>
      <c r="AW222" s="30"/>
      <c r="AX222" s="30"/>
      <c r="AY222" s="30"/>
    </row>
    <row r="223" spans="1:51" outlineLevel="1">
      <c r="A223" s="44"/>
      <c r="B223" s="37"/>
      <c r="C223" s="51" t="s">
        <v>649</v>
      </c>
      <c r="D223" s="41"/>
      <c r="E223" s="57">
        <v>18.18</v>
      </c>
      <c r="F223" s="43"/>
      <c r="G223" s="43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/>
      <c r="AR223" s="30"/>
      <c r="AS223" s="30"/>
      <c r="AT223" s="30"/>
      <c r="AU223" s="30"/>
      <c r="AV223" s="30"/>
      <c r="AW223" s="30"/>
      <c r="AX223" s="30"/>
      <c r="AY223" s="30"/>
    </row>
    <row r="224" spans="1:51" outlineLevel="1">
      <c r="A224" s="44"/>
      <c r="B224" s="37"/>
      <c r="C224" s="51" t="s">
        <v>643</v>
      </c>
      <c r="D224" s="41"/>
      <c r="E224" s="57">
        <v>248.44</v>
      </c>
      <c r="F224" s="43"/>
      <c r="G224" s="43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/>
      <c r="AR224" s="30"/>
      <c r="AS224" s="30"/>
      <c r="AT224" s="30"/>
      <c r="AU224" s="30"/>
      <c r="AV224" s="30"/>
      <c r="AW224" s="30"/>
      <c r="AX224" s="30"/>
      <c r="AY224" s="30"/>
    </row>
    <row r="225" spans="1:51" outlineLevel="1">
      <c r="A225" s="44">
        <v>122</v>
      </c>
      <c r="B225" s="37" t="s">
        <v>650</v>
      </c>
      <c r="C225" s="49" t="s">
        <v>651</v>
      </c>
      <c r="D225" s="39" t="s">
        <v>62</v>
      </c>
      <c r="E225" s="55">
        <v>0</v>
      </c>
      <c r="F225" s="43"/>
      <c r="G225" s="43">
        <f>E225*F225</f>
        <v>0</v>
      </c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/>
      <c r="AR225" s="30"/>
      <c r="AS225" s="30"/>
      <c r="AT225" s="30"/>
      <c r="AU225" s="30"/>
      <c r="AV225" s="30"/>
      <c r="AW225" s="30"/>
      <c r="AX225" s="30"/>
      <c r="AY225" s="30"/>
    </row>
    <row r="226" spans="1:51" outlineLevel="1">
      <c r="A226" s="44"/>
      <c r="B226" s="37"/>
      <c r="C226" s="51" t="s">
        <v>637</v>
      </c>
      <c r="D226" s="41"/>
      <c r="E226" s="57"/>
      <c r="F226" s="43"/>
      <c r="G226" s="43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/>
      <c r="AR226" s="30"/>
      <c r="AS226" s="30"/>
      <c r="AT226" s="30"/>
      <c r="AU226" s="30"/>
      <c r="AV226" s="30"/>
      <c r="AW226" s="30"/>
      <c r="AX226" s="30"/>
      <c r="AY226" s="30"/>
    </row>
    <row r="227" spans="1:51" outlineLevel="1">
      <c r="A227" s="44"/>
      <c r="B227" s="37"/>
      <c r="C227" s="51" t="s">
        <v>652</v>
      </c>
      <c r="D227" s="41"/>
      <c r="E227" s="57">
        <v>0</v>
      </c>
      <c r="F227" s="43"/>
      <c r="G227" s="43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/>
      <c r="AR227" s="30"/>
      <c r="AS227" s="30"/>
      <c r="AT227" s="30"/>
      <c r="AU227" s="30"/>
      <c r="AV227" s="30"/>
      <c r="AW227" s="30"/>
      <c r="AX227" s="30"/>
      <c r="AY227" s="30"/>
    </row>
    <row r="228" spans="1:51" outlineLevel="1">
      <c r="A228" s="44"/>
      <c r="B228" s="37"/>
      <c r="C228" s="51" t="s">
        <v>639</v>
      </c>
      <c r="D228" s="41"/>
      <c r="E228" s="57"/>
      <c r="F228" s="43"/>
      <c r="G228" s="43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/>
      <c r="AR228" s="30"/>
      <c r="AS228" s="30"/>
      <c r="AT228" s="30"/>
      <c r="AU228" s="30"/>
      <c r="AV228" s="30"/>
      <c r="AW228" s="30"/>
      <c r="AX228" s="30"/>
      <c r="AY228" s="30"/>
    </row>
    <row r="229" spans="1:51" outlineLevel="1">
      <c r="A229" s="44"/>
      <c r="B229" s="37"/>
      <c r="C229" s="51" t="s">
        <v>653</v>
      </c>
      <c r="D229" s="41"/>
      <c r="E229" s="57">
        <v>0</v>
      </c>
      <c r="F229" s="43"/>
      <c r="G229" s="43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/>
      <c r="AR229" s="30"/>
      <c r="AS229" s="30"/>
      <c r="AT229" s="30"/>
      <c r="AU229" s="30"/>
      <c r="AV229" s="30"/>
      <c r="AW229" s="30"/>
      <c r="AX229" s="30"/>
      <c r="AY229" s="30"/>
    </row>
    <row r="230" spans="1:51" ht="22.5" outlineLevel="1">
      <c r="A230" s="44">
        <v>123</v>
      </c>
      <c r="B230" s="37" t="s">
        <v>654</v>
      </c>
      <c r="C230" s="49" t="s">
        <v>655</v>
      </c>
      <c r="D230" s="39" t="s">
        <v>57</v>
      </c>
      <c r="E230" s="55">
        <v>0</v>
      </c>
      <c r="F230" s="43"/>
      <c r="G230" s="43">
        <f>E230*F230</f>
        <v>0</v>
      </c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/>
      <c r="AR230" s="30"/>
      <c r="AS230" s="30"/>
      <c r="AT230" s="30"/>
      <c r="AU230" s="30"/>
      <c r="AV230" s="30"/>
      <c r="AW230" s="30"/>
      <c r="AX230" s="30"/>
      <c r="AY230" s="30"/>
    </row>
    <row r="231" spans="1:51" outlineLevel="1">
      <c r="A231" s="44"/>
      <c r="B231" s="37"/>
      <c r="C231" s="51" t="s">
        <v>154</v>
      </c>
      <c r="D231" s="41"/>
      <c r="E231" s="57">
        <v>0</v>
      </c>
      <c r="F231" s="43"/>
      <c r="G231" s="43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/>
      <c r="AR231" s="30"/>
      <c r="AS231" s="30"/>
      <c r="AT231" s="30"/>
      <c r="AU231" s="30"/>
      <c r="AV231" s="30"/>
      <c r="AW231" s="30"/>
      <c r="AX231" s="30"/>
      <c r="AY231" s="30"/>
    </row>
    <row r="232" spans="1:51" outlineLevel="1">
      <c r="A232" s="44"/>
      <c r="B232" s="37"/>
      <c r="C232" s="51" t="s">
        <v>156</v>
      </c>
      <c r="D232" s="41"/>
      <c r="E232" s="57">
        <v>0</v>
      </c>
      <c r="F232" s="43"/>
      <c r="G232" s="43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/>
      <c r="AR232" s="30"/>
      <c r="AS232" s="30"/>
      <c r="AT232" s="30"/>
      <c r="AU232" s="30"/>
      <c r="AV232" s="30"/>
      <c r="AW232" s="30"/>
      <c r="AX232" s="30"/>
      <c r="AY232" s="30"/>
    </row>
    <row r="233" spans="1:51" ht="22.5" outlineLevel="1">
      <c r="A233" s="44">
        <v>124</v>
      </c>
      <c r="B233" s="37" t="s">
        <v>656</v>
      </c>
      <c r="C233" s="49" t="s">
        <v>657</v>
      </c>
      <c r="D233" s="39" t="s">
        <v>57</v>
      </c>
      <c r="E233" s="55">
        <v>250.51</v>
      </c>
      <c r="F233" s="43"/>
      <c r="G233" s="43">
        <f>E233*F233</f>
        <v>0</v>
      </c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/>
      <c r="AR233" s="30"/>
      <c r="AS233" s="30"/>
      <c r="AT233" s="30"/>
      <c r="AU233" s="30"/>
      <c r="AV233" s="30"/>
      <c r="AW233" s="30"/>
      <c r="AX233" s="30"/>
      <c r="AY233" s="30"/>
    </row>
    <row r="234" spans="1:51" outlineLevel="1">
      <c r="A234" s="44"/>
      <c r="B234" s="37"/>
      <c r="C234" s="51" t="s">
        <v>152</v>
      </c>
      <c r="D234" s="41"/>
      <c r="E234" s="57">
        <v>232.04</v>
      </c>
      <c r="F234" s="43"/>
      <c r="G234" s="43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/>
      <c r="AR234" s="30"/>
      <c r="AS234" s="30"/>
      <c r="AT234" s="30"/>
      <c r="AU234" s="30"/>
      <c r="AV234" s="30"/>
      <c r="AW234" s="30"/>
      <c r="AX234" s="30"/>
      <c r="AY234" s="30"/>
    </row>
    <row r="235" spans="1:51" outlineLevel="1">
      <c r="A235" s="44"/>
      <c r="B235" s="37"/>
      <c r="C235" s="51" t="s">
        <v>157</v>
      </c>
      <c r="D235" s="41"/>
      <c r="E235" s="57">
        <v>18.47</v>
      </c>
      <c r="F235" s="43"/>
      <c r="G235" s="43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/>
      <c r="AR235" s="30"/>
      <c r="AS235" s="30"/>
      <c r="AT235" s="30"/>
      <c r="AU235" s="30"/>
      <c r="AV235" s="30"/>
      <c r="AW235" s="30"/>
      <c r="AX235" s="30"/>
      <c r="AY235" s="30"/>
    </row>
    <row r="236" spans="1:51" ht="22.5" outlineLevel="1">
      <c r="A236" s="44">
        <v>125</v>
      </c>
      <c r="B236" s="37" t="s">
        <v>658</v>
      </c>
      <c r="C236" s="49" t="s">
        <v>659</v>
      </c>
      <c r="D236" s="39" t="s">
        <v>57</v>
      </c>
      <c r="E236" s="55">
        <v>9.7899999999999991</v>
      </c>
      <c r="F236" s="43"/>
      <c r="G236" s="43">
        <f>E236*F236</f>
        <v>0</v>
      </c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30"/>
      <c r="AX236" s="30"/>
      <c r="AY236" s="30"/>
    </row>
    <row r="237" spans="1:51" outlineLevel="1">
      <c r="A237" s="44"/>
      <c r="B237" s="37"/>
      <c r="C237" s="51" t="s">
        <v>153</v>
      </c>
      <c r="D237" s="41"/>
      <c r="E237" s="57">
        <v>9.7899999999999991</v>
      </c>
      <c r="F237" s="43"/>
      <c r="G237" s="43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/>
      <c r="AR237" s="30"/>
      <c r="AS237" s="30"/>
      <c r="AT237" s="30"/>
      <c r="AU237" s="30"/>
      <c r="AV237" s="30"/>
      <c r="AW237" s="30"/>
      <c r="AX237" s="30"/>
      <c r="AY237" s="30"/>
    </row>
    <row r="238" spans="1:51" ht="22.5" outlineLevel="1">
      <c r="A238" s="44">
        <v>126</v>
      </c>
      <c r="B238" s="37" t="s">
        <v>660</v>
      </c>
      <c r="C238" s="49" t="s">
        <v>661</v>
      </c>
      <c r="D238" s="39" t="s">
        <v>57</v>
      </c>
      <c r="E238" s="55">
        <v>0</v>
      </c>
      <c r="F238" s="43"/>
      <c r="G238" s="43">
        <f>E238*F238</f>
        <v>0</v>
      </c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/>
      <c r="AR238" s="30"/>
      <c r="AS238" s="30"/>
      <c r="AT238" s="30"/>
      <c r="AU238" s="30"/>
      <c r="AV238" s="30"/>
      <c r="AW238" s="30"/>
      <c r="AX238" s="30"/>
      <c r="AY238" s="30"/>
    </row>
    <row r="239" spans="1:51" ht="33.75" outlineLevel="1">
      <c r="A239" s="44"/>
      <c r="B239" s="37"/>
      <c r="C239" s="326" t="s">
        <v>662</v>
      </c>
      <c r="D239" s="383"/>
      <c r="E239" s="383"/>
      <c r="F239" s="383"/>
      <c r="G239" s="384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/>
      <c r="AR239" s="36" t="str">
        <f>C239</f>
        <v>Včetně dodávky dlaždic.</v>
      </c>
      <c r="AS239" s="30"/>
      <c r="AT239" s="30"/>
      <c r="AU239" s="30"/>
      <c r="AV239" s="30"/>
      <c r="AW239" s="30"/>
      <c r="AX239" s="30"/>
      <c r="AY239" s="30"/>
    </row>
    <row r="240" spans="1:51" outlineLevel="1">
      <c r="A240" s="44"/>
      <c r="B240" s="37"/>
      <c r="C240" s="51" t="s">
        <v>637</v>
      </c>
      <c r="D240" s="41"/>
      <c r="E240" s="57"/>
      <c r="F240" s="43"/>
      <c r="G240" s="43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30"/>
      <c r="AX240" s="30"/>
      <c r="AY240" s="30"/>
    </row>
    <row r="241" spans="1:51" outlineLevel="1">
      <c r="A241" s="44"/>
      <c r="B241" s="37"/>
      <c r="C241" s="51" t="s">
        <v>663</v>
      </c>
      <c r="D241" s="41"/>
      <c r="E241" s="57">
        <v>0</v>
      </c>
      <c r="F241" s="43"/>
      <c r="G241" s="43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/>
      <c r="AR241" s="30"/>
      <c r="AS241" s="30"/>
      <c r="AT241" s="30"/>
      <c r="AU241" s="30"/>
      <c r="AV241" s="30"/>
      <c r="AW241" s="30"/>
      <c r="AX241" s="30"/>
      <c r="AY241" s="30"/>
    </row>
    <row r="242" spans="1:51" outlineLevel="1">
      <c r="A242" s="44"/>
      <c r="B242" s="37"/>
      <c r="C242" s="51" t="s">
        <v>639</v>
      </c>
      <c r="D242" s="41"/>
      <c r="E242" s="57"/>
      <c r="F242" s="43"/>
      <c r="G242" s="43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/>
      <c r="AR242" s="30"/>
      <c r="AS242" s="30"/>
      <c r="AT242" s="30"/>
      <c r="AU242" s="30"/>
      <c r="AV242" s="30"/>
      <c r="AW242" s="30"/>
      <c r="AX242" s="30"/>
      <c r="AY242" s="30"/>
    </row>
    <row r="243" spans="1:51" outlineLevel="1">
      <c r="A243" s="44"/>
      <c r="B243" s="37"/>
      <c r="C243" s="51" t="s">
        <v>664</v>
      </c>
      <c r="D243" s="41"/>
      <c r="E243" s="57">
        <v>0</v>
      </c>
      <c r="F243" s="43"/>
      <c r="G243" s="43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/>
      <c r="AR243" s="30"/>
      <c r="AS243" s="30"/>
      <c r="AT243" s="30"/>
      <c r="AU243" s="30"/>
      <c r="AV243" s="30"/>
      <c r="AW243" s="30"/>
      <c r="AX243" s="30"/>
      <c r="AY243" s="30"/>
    </row>
    <row r="244" spans="1:51">
      <c r="A244" s="45" t="s">
        <v>49</v>
      </c>
      <c r="B244" s="38" t="s">
        <v>665</v>
      </c>
      <c r="C244" s="50" t="s">
        <v>666</v>
      </c>
      <c r="D244" s="40"/>
      <c r="E244" s="56"/>
      <c r="F244" s="330">
        <f>SUM(G245:G282)</f>
        <v>0</v>
      </c>
      <c r="G244" s="331"/>
    </row>
    <row r="245" spans="1:51" ht="22.5" outlineLevel="1">
      <c r="A245" s="44">
        <v>127</v>
      </c>
      <c r="B245" s="37" t="s">
        <v>667</v>
      </c>
      <c r="C245" s="49" t="s">
        <v>668</v>
      </c>
      <c r="D245" s="39" t="s">
        <v>62</v>
      </c>
      <c r="E245" s="55">
        <v>187.37</v>
      </c>
      <c r="F245" s="43"/>
      <c r="G245" s="43">
        <f>E245*F245</f>
        <v>0</v>
      </c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/>
      <c r="AR245" s="30"/>
      <c r="AS245" s="30"/>
      <c r="AT245" s="30"/>
      <c r="AU245" s="30"/>
      <c r="AV245" s="30"/>
      <c r="AW245" s="30"/>
      <c r="AX245" s="30"/>
      <c r="AY245" s="30"/>
    </row>
    <row r="246" spans="1:51" ht="30" customHeight="1" outlineLevel="1">
      <c r="A246" s="44"/>
      <c r="B246" s="37"/>
      <c r="C246" s="326" t="s">
        <v>669</v>
      </c>
      <c r="D246" s="383"/>
      <c r="E246" s="383"/>
      <c r="F246" s="383"/>
      <c r="G246" s="384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/>
      <c r="AR246" s="36" t="str">
        <f>C246</f>
        <v>z vni strany parotěsná a z vně strany paropropustná a voděodolná.</v>
      </c>
      <c r="AS246" s="30"/>
      <c r="AT246" s="30"/>
      <c r="AU246" s="30"/>
      <c r="AV246" s="30"/>
      <c r="AW246" s="30"/>
      <c r="AX246" s="30"/>
      <c r="AY246" s="30"/>
    </row>
    <row r="247" spans="1:51" outlineLevel="1">
      <c r="A247" s="44"/>
      <c r="B247" s="37"/>
      <c r="C247" s="51" t="s">
        <v>670</v>
      </c>
      <c r="D247" s="41"/>
      <c r="E247" s="57"/>
      <c r="F247" s="43"/>
      <c r="G247" s="43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/>
      <c r="AR247" s="30"/>
      <c r="AS247" s="30"/>
      <c r="AT247" s="30"/>
      <c r="AU247" s="30"/>
      <c r="AV247" s="30"/>
      <c r="AW247" s="30"/>
      <c r="AX247" s="30"/>
      <c r="AY247" s="30"/>
    </row>
    <row r="248" spans="1:51" outlineLevel="1">
      <c r="A248" s="44"/>
      <c r="B248" s="37"/>
      <c r="C248" s="51" t="s">
        <v>671</v>
      </c>
      <c r="D248" s="41"/>
      <c r="E248" s="57">
        <v>154.80000000000001</v>
      </c>
      <c r="F248" s="43"/>
      <c r="G248" s="43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/>
      <c r="AR248" s="30"/>
      <c r="AS248" s="30"/>
      <c r="AT248" s="30"/>
      <c r="AU248" s="30"/>
      <c r="AV248" s="30"/>
      <c r="AW248" s="30"/>
      <c r="AX248" s="30"/>
      <c r="AY248" s="30"/>
    </row>
    <row r="249" spans="1:51" outlineLevel="1">
      <c r="A249" s="44"/>
      <c r="B249" s="37"/>
      <c r="C249" s="51" t="s">
        <v>672</v>
      </c>
      <c r="D249" s="41"/>
      <c r="E249" s="57">
        <v>32.57</v>
      </c>
      <c r="F249" s="43"/>
      <c r="G249" s="43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/>
      <c r="AR249" s="30"/>
      <c r="AS249" s="30"/>
      <c r="AT249" s="30"/>
      <c r="AU249" s="30"/>
      <c r="AV249" s="30"/>
      <c r="AW249" s="30"/>
      <c r="AX249" s="30"/>
      <c r="AY249" s="30"/>
    </row>
    <row r="250" spans="1:51" outlineLevel="1">
      <c r="A250" s="44">
        <v>128</v>
      </c>
      <c r="B250" s="37" t="s">
        <v>673</v>
      </c>
      <c r="C250" s="49" t="s">
        <v>674</v>
      </c>
      <c r="D250" s="39" t="s">
        <v>52</v>
      </c>
      <c r="E250" s="55">
        <v>10</v>
      </c>
      <c r="F250" s="43"/>
      <c r="G250" s="43">
        <f>E250*F250</f>
        <v>0</v>
      </c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/>
      <c r="AR250" s="30"/>
      <c r="AS250" s="30"/>
      <c r="AT250" s="30"/>
      <c r="AU250" s="30"/>
      <c r="AV250" s="30"/>
      <c r="AW250" s="30"/>
      <c r="AX250" s="30"/>
      <c r="AY250" s="30"/>
    </row>
    <row r="251" spans="1:51" outlineLevel="1">
      <c r="A251" s="44"/>
      <c r="B251" s="37"/>
      <c r="C251" s="51" t="s">
        <v>675</v>
      </c>
      <c r="D251" s="41"/>
      <c r="E251" s="57">
        <v>10</v>
      </c>
      <c r="F251" s="43"/>
      <c r="G251" s="43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/>
      <c r="AR251" s="30"/>
      <c r="AS251" s="30"/>
      <c r="AT251" s="30"/>
      <c r="AU251" s="30"/>
      <c r="AV251" s="30"/>
      <c r="AW251" s="30"/>
      <c r="AX251" s="30"/>
      <c r="AY251" s="30"/>
    </row>
    <row r="252" spans="1:51" outlineLevel="1">
      <c r="A252" s="44">
        <v>129</v>
      </c>
      <c r="B252" s="37" t="s">
        <v>676</v>
      </c>
      <c r="C252" s="49" t="s">
        <v>677</v>
      </c>
      <c r="D252" s="39" t="s">
        <v>52</v>
      </c>
      <c r="E252" s="55">
        <v>2</v>
      </c>
      <c r="F252" s="43"/>
      <c r="G252" s="43">
        <f>E252*F252</f>
        <v>0</v>
      </c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/>
      <c r="AR252" s="30"/>
      <c r="AS252" s="30"/>
      <c r="AT252" s="30"/>
      <c r="AU252" s="30"/>
      <c r="AV252" s="30"/>
      <c r="AW252" s="30"/>
      <c r="AX252" s="30"/>
      <c r="AY252" s="30"/>
    </row>
    <row r="253" spans="1:51" outlineLevel="1">
      <c r="A253" s="44"/>
      <c r="B253" s="37"/>
      <c r="C253" s="51" t="s">
        <v>678</v>
      </c>
      <c r="D253" s="41"/>
      <c r="E253" s="57">
        <v>2</v>
      </c>
      <c r="F253" s="43"/>
      <c r="G253" s="43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/>
      <c r="AR253" s="30"/>
      <c r="AS253" s="30"/>
      <c r="AT253" s="30"/>
      <c r="AU253" s="30"/>
      <c r="AV253" s="30"/>
      <c r="AW253" s="30"/>
      <c r="AX253" s="30"/>
      <c r="AY253" s="30"/>
    </row>
    <row r="254" spans="1:51" ht="22.5" outlineLevel="1">
      <c r="A254" s="44">
        <v>130</v>
      </c>
      <c r="B254" s="37" t="s">
        <v>679</v>
      </c>
      <c r="C254" s="49" t="s">
        <v>680</v>
      </c>
      <c r="D254" s="39" t="s">
        <v>62</v>
      </c>
      <c r="E254" s="55">
        <v>6.22</v>
      </c>
      <c r="F254" s="43"/>
      <c r="G254" s="43">
        <f>E254*F254</f>
        <v>0</v>
      </c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F254" s="30"/>
      <c r="AG254" s="30"/>
      <c r="AH254" s="30"/>
      <c r="AI254" s="30"/>
      <c r="AJ254" s="30"/>
      <c r="AK254" s="30"/>
      <c r="AL254" s="30"/>
      <c r="AM254" s="30"/>
      <c r="AN254" s="30"/>
      <c r="AO254" s="30"/>
      <c r="AP254" s="30"/>
      <c r="AQ254" s="30"/>
      <c r="AR254" s="30"/>
      <c r="AS254" s="30"/>
      <c r="AT254" s="30"/>
      <c r="AU254" s="30"/>
      <c r="AV254" s="30"/>
      <c r="AW254" s="30"/>
      <c r="AX254" s="30"/>
      <c r="AY254" s="30"/>
    </row>
    <row r="255" spans="1:51" outlineLevel="1">
      <c r="A255" s="44"/>
      <c r="B255" s="37"/>
      <c r="C255" s="51" t="s">
        <v>681</v>
      </c>
      <c r="D255" s="41"/>
      <c r="E255" s="57">
        <v>1.52</v>
      </c>
      <c r="F255" s="43"/>
      <c r="G255" s="43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F255" s="30"/>
      <c r="AG255" s="30"/>
      <c r="AH255" s="30"/>
      <c r="AI255" s="30"/>
      <c r="AJ255" s="30"/>
      <c r="AK255" s="30"/>
      <c r="AL255" s="30"/>
      <c r="AM255" s="30"/>
      <c r="AN255" s="30"/>
      <c r="AO255" s="30"/>
      <c r="AP255" s="30"/>
      <c r="AQ255" s="30"/>
      <c r="AR255" s="30"/>
      <c r="AS255" s="30"/>
      <c r="AT255" s="30"/>
      <c r="AU255" s="30"/>
      <c r="AV255" s="30"/>
      <c r="AW255" s="30"/>
      <c r="AX255" s="30"/>
      <c r="AY255" s="30"/>
    </row>
    <row r="256" spans="1:51" outlineLevel="1">
      <c r="A256" s="44"/>
      <c r="B256" s="37"/>
      <c r="C256" s="51" t="s">
        <v>682</v>
      </c>
      <c r="D256" s="41"/>
      <c r="E256" s="57">
        <v>4.7</v>
      </c>
      <c r="F256" s="43"/>
      <c r="G256" s="43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0"/>
      <c r="AR256" s="30"/>
      <c r="AS256" s="30"/>
      <c r="AT256" s="30"/>
      <c r="AU256" s="30"/>
      <c r="AV256" s="30"/>
      <c r="AW256" s="30"/>
      <c r="AX256" s="30"/>
      <c r="AY256" s="30"/>
    </row>
    <row r="257" spans="1:51" ht="22.5" outlineLevel="1">
      <c r="A257" s="44">
        <v>131</v>
      </c>
      <c r="B257" s="37" t="s">
        <v>683</v>
      </c>
      <c r="C257" s="49" t="s">
        <v>684</v>
      </c>
      <c r="D257" s="39" t="s">
        <v>62</v>
      </c>
      <c r="E257" s="55">
        <v>45.74</v>
      </c>
      <c r="F257" s="43"/>
      <c r="G257" s="43">
        <f>E257*F257</f>
        <v>0</v>
      </c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F257" s="30"/>
      <c r="AG257" s="30"/>
      <c r="AH257" s="30"/>
      <c r="AI257" s="30"/>
      <c r="AJ257" s="30"/>
      <c r="AK257" s="30"/>
      <c r="AL257" s="30"/>
      <c r="AM257" s="30"/>
      <c r="AN257" s="30"/>
      <c r="AO257" s="30"/>
      <c r="AP257" s="30"/>
      <c r="AQ257" s="30"/>
      <c r="AR257" s="30"/>
      <c r="AS257" s="30"/>
      <c r="AT257" s="30"/>
      <c r="AU257" s="30"/>
      <c r="AV257" s="30"/>
      <c r="AW257" s="30"/>
      <c r="AX257" s="30"/>
      <c r="AY257" s="30"/>
    </row>
    <row r="258" spans="1:51" ht="22.5" outlineLevel="1">
      <c r="A258" s="44"/>
      <c r="B258" s="37"/>
      <c r="C258" s="326" t="s">
        <v>685</v>
      </c>
      <c r="D258" s="383"/>
      <c r="E258" s="383"/>
      <c r="F258" s="383"/>
      <c r="G258" s="384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F258" s="30"/>
      <c r="AG258" s="30"/>
      <c r="AH258" s="30"/>
      <c r="AI258" s="30"/>
      <c r="AJ258" s="30"/>
      <c r="AK258" s="30"/>
      <c r="AL258" s="30"/>
      <c r="AM258" s="30"/>
      <c r="AN258" s="30"/>
      <c r="AO258" s="30"/>
      <c r="AP258" s="30"/>
      <c r="AQ258" s="30"/>
      <c r="AR258" s="36" t="str">
        <f>C258</f>
        <v>lamino DTD, dýha dub</v>
      </c>
      <c r="AS258" s="30"/>
      <c r="AT258" s="30"/>
      <c r="AU258" s="30"/>
      <c r="AV258" s="30"/>
      <c r="AW258" s="30"/>
      <c r="AX258" s="30"/>
      <c r="AY258" s="30"/>
    </row>
    <row r="259" spans="1:51" outlineLevel="1">
      <c r="A259" s="44"/>
      <c r="B259" s="37"/>
      <c r="C259" s="51" t="s">
        <v>686</v>
      </c>
      <c r="D259" s="41"/>
      <c r="E259" s="57">
        <v>38.75</v>
      </c>
      <c r="F259" s="43"/>
      <c r="G259" s="43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F259" s="30"/>
      <c r="AG259" s="30"/>
      <c r="AH259" s="30"/>
      <c r="AI259" s="30"/>
      <c r="AJ259" s="30"/>
      <c r="AK259" s="30"/>
      <c r="AL259" s="30"/>
      <c r="AM259" s="30"/>
      <c r="AN259" s="30"/>
      <c r="AO259" s="30"/>
      <c r="AP259" s="30"/>
      <c r="AQ259" s="30"/>
      <c r="AR259" s="30"/>
      <c r="AS259" s="30"/>
      <c r="AT259" s="30"/>
      <c r="AU259" s="30"/>
      <c r="AV259" s="30"/>
      <c r="AW259" s="30"/>
      <c r="AX259" s="30"/>
      <c r="AY259" s="30"/>
    </row>
    <row r="260" spans="1:51" outlineLevel="1">
      <c r="A260" s="44"/>
      <c r="B260" s="37"/>
      <c r="C260" s="51" t="s">
        <v>687</v>
      </c>
      <c r="D260" s="41"/>
      <c r="E260" s="57">
        <v>0.76</v>
      </c>
      <c r="F260" s="43"/>
      <c r="G260" s="43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F260" s="30"/>
      <c r="AG260" s="30"/>
      <c r="AH260" s="30"/>
      <c r="AI260" s="30"/>
      <c r="AJ260" s="30"/>
      <c r="AK260" s="30"/>
      <c r="AL260" s="30"/>
      <c r="AM260" s="30"/>
      <c r="AN260" s="30"/>
      <c r="AO260" s="30"/>
      <c r="AP260" s="30"/>
      <c r="AQ260" s="30"/>
      <c r="AR260" s="30"/>
      <c r="AS260" s="30"/>
      <c r="AT260" s="30"/>
      <c r="AU260" s="30"/>
      <c r="AV260" s="30"/>
      <c r="AW260" s="30"/>
      <c r="AX260" s="30"/>
      <c r="AY260" s="30"/>
    </row>
    <row r="261" spans="1:51" outlineLevel="1">
      <c r="A261" s="44"/>
      <c r="B261" s="37"/>
      <c r="C261" s="51" t="s">
        <v>688</v>
      </c>
      <c r="D261" s="41"/>
      <c r="E261" s="57">
        <v>6.23</v>
      </c>
      <c r="F261" s="43"/>
      <c r="G261" s="43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F261" s="30"/>
      <c r="AG261" s="30"/>
      <c r="AH261" s="30"/>
      <c r="AI261" s="30"/>
      <c r="AJ261" s="30"/>
      <c r="AK261" s="30"/>
      <c r="AL261" s="30"/>
      <c r="AM261" s="30"/>
      <c r="AN261" s="30"/>
      <c r="AO261" s="30"/>
      <c r="AP261" s="30"/>
      <c r="AQ261" s="30"/>
      <c r="AR261" s="30"/>
      <c r="AS261" s="30"/>
      <c r="AT261" s="30"/>
      <c r="AU261" s="30"/>
      <c r="AV261" s="30"/>
      <c r="AW261" s="30"/>
      <c r="AX261" s="30"/>
      <c r="AY261" s="30"/>
    </row>
    <row r="262" spans="1:51" ht="22.5" outlineLevel="1">
      <c r="A262" s="44">
        <v>132</v>
      </c>
      <c r="B262" s="37" t="s">
        <v>689</v>
      </c>
      <c r="C262" s="49" t="s">
        <v>690</v>
      </c>
      <c r="D262" s="39" t="s">
        <v>52</v>
      </c>
      <c r="E262" s="55">
        <v>8</v>
      </c>
      <c r="F262" s="43"/>
      <c r="G262" s="43">
        <f>E262*F262</f>
        <v>0</v>
      </c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F262" s="30"/>
      <c r="AG262" s="30"/>
      <c r="AH262" s="30"/>
      <c r="AI262" s="30"/>
      <c r="AJ262" s="30"/>
      <c r="AK262" s="30"/>
      <c r="AL262" s="30"/>
      <c r="AM262" s="30"/>
      <c r="AN262" s="30"/>
      <c r="AO262" s="30"/>
      <c r="AP262" s="30"/>
      <c r="AQ262" s="30"/>
      <c r="AR262" s="30"/>
      <c r="AS262" s="30"/>
      <c r="AT262" s="30"/>
      <c r="AU262" s="30"/>
      <c r="AV262" s="30"/>
      <c r="AW262" s="30"/>
      <c r="AX262" s="30"/>
      <c r="AY262" s="30"/>
    </row>
    <row r="263" spans="1:51" ht="32.25" customHeight="1" outlineLevel="1">
      <c r="A263" s="44"/>
      <c r="B263" s="37"/>
      <c r="C263" s="326" t="s">
        <v>691</v>
      </c>
      <c r="D263" s="383"/>
      <c r="E263" s="383"/>
      <c r="F263" s="383"/>
      <c r="G263" s="384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F263" s="30"/>
      <c r="AG263" s="30"/>
      <c r="AH263" s="30"/>
      <c r="AI263" s="30"/>
      <c r="AJ263" s="30"/>
      <c r="AK263" s="30"/>
      <c r="AL263" s="30"/>
      <c r="AM263" s="30"/>
      <c r="AN263" s="30"/>
      <c r="AO263" s="30"/>
      <c r="AP263" s="30"/>
      <c r="AQ263" s="30"/>
      <c r="AR263" s="36" t="str">
        <f>C263</f>
        <v>Včetně kotvení rámů do zdiva a platí pro jakýkoliv způsob provádění (např. bodovým přivařením k obnažené výztuži, uklínováním, zalitím pracen apod.).</v>
      </c>
      <c r="AS263" s="30"/>
      <c r="AT263" s="30"/>
      <c r="AU263" s="30"/>
      <c r="AV263" s="30"/>
      <c r="AW263" s="30"/>
      <c r="AX263" s="30"/>
      <c r="AY263" s="30"/>
    </row>
    <row r="264" spans="1:51" outlineLevel="1">
      <c r="A264" s="44"/>
      <c r="B264" s="37"/>
      <c r="C264" s="51" t="s">
        <v>692</v>
      </c>
      <c r="D264" s="41"/>
      <c r="E264" s="57">
        <v>8</v>
      </c>
      <c r="F264" s="43"/>
      <c r="G264" s="43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F264" s="30"/>
      <c r="AG264" s="30"/>
      <c r="AH264" s="30"/>
      <c r="AI264" s="30"/>
      <c r="AJ264" s="30"/>
      <c r="AK264" s="30"/>
      <c r="AL264" s="30"/>
      <c r="AM264" s="30"/>
      <c r="AN264" s="30"/>
      <c r="AO264" s="30"/>
      <c r="AP264" s="30"/>
      <c r="AQ264" s="30"/>
      <c r="AR264" s="30"/>
      <c r="AS264" s="30"/>
      <c r="AT264" s="30"/>
      <c r="AU264" s="30"/>
      <c r="AV264" s="30"/>
      <c r="AW264" s="30"/>
      <c r="AX264" s="30"/>
      <c r="AY264" s="30"/>
    </row>
    <row r="265" spans="1:51" outlineLevel="1">
      <c r="A265" s="44">
        <v>133</v>
      </c>
      <c r="B265" s="37" t="s">
        <v>693</v>
      </c>
      <c r="C265" s="49" t="s">
        <v>694</v>
      </c>
      <c r="D265" s="39" t="s">
        <v>158</v>
      </c>
      <c r="E265" s="55">
        <v>9</v>
      </c>
      <c r="F265" s="43"/>
      <c r="G265" s="43">
        <f>E265*F265</f>
        <v>0</v>
      </c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F265" s="30"/>
      <c r="AG265" s="30"/>
      <c r="AH265" s="30"/>
      <c r="AI265" s="30"/>
      <c r="AJ265" s="30"/>
      <c r="AK265" s="30"/>
      <c r="AL265" s="30"/>
      <c r="AM265" s="30"/>
      <c r="AN265" s="30"/>
      <c r="AO265" s="30"/>
      <c r="AP265" s="30"/>
      <c r="AQ265" s="30"/>
      <c r="AR265" s="30"/>
      <c r="AS265" s="30"/>
      <c r="AT265" s="30"/>
      <c r="AU265" s="30"/>
      <c r="AV265" s="30"/>
      <c r="AW265" s="30"/>
      <c r="AX265" s="30"/>
      <c r="AY265" s="30"/>
    </row>
    <row r="266" spans="1:51" outlineLevel="1">
      <c r="A266" s="44"/>
      <c r="B266" s="37"/>
      <c r="C266" s="51" t="s">
        <v>695</v>
      </c>
      <c r="D266" s="41"/>
      <c r="E266" s="57"/>
      <c r="F266" s="43"/>
      <c r="G266" s="43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F266" s="30"/>
      <c r="AG266" s="30"/>
      <c r="AH266" s="30"/>
      <c r="AI266" s="30"/>
      <c r="AJ266" s="30"/>
      <c r="AK266" s="30"/>
      <c r="AL266" s="30"/>
      <c r="AM266" s="30"/>
      <c r="AN266" s="30"/>
      <c r="AO266" s="30"/>
      <c r="AP266" s="30"/>
      <c r="AQ266" s="30"/>
      <c r="AR266" s="30"/>
      <c r="AS266" s="30"/>
      <c r="AT266" s="30"/>
      <c r="AU266" s="30"/>
      <c r="AV266" s="30"/>
      <c r="AW266" s="30"/>
      <c r="AX266" s="30"/>
      <c r="AY266" s="30"/>
    </row>
    <row r="267" spans="1:51" outlineLevel="1">
      <c r="A267" s="44"/>
      <c r="B267" s="37"/>
      <c r="C267" s="51" t="s">
        <v>696</v>
      </c>
      <c r="D267" s="41"/>
      <c r="E267" s="57">
        <v>0</v>
      </c>
      <c r="F267" s="43"/>
      <c r="G267" s="43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F267" s="30"/>
      <c r="AG267" s="30"/>
      <c r="AH267" s="30"/>
      <c r="AI267" s="30"/>
      <c r="AJ267" s="30"/>
      <c r="AK267" s="30"/>
      <c r="AL267" s="30"/>
      <c r="AM267" s="30"/>
      <c r="AN267" s="30"/>
      <c r="AO267" s="30"/>
      <c r="AP267" s="30"/>
      <c r="AQ267" s="30"/>
      <c r="AR267" s="30"/>
      <c r="AS267" s="30"/>
      <c r="AT267" s="30"/>
      <c r="AU267" s="30"/>
      <c r="AV267" s="30"/>
      <c r="AW267" s="30"/>
      <c r="AX267" s="30"/>
      <c r="AY267" s="30"/>
    </row>
    <row r="268" spans="1:51" outlineLevel="1">
      <c r="A268" s="44"/>
      <c r="B268" s="37"/>
      <c r="C268" s="51" t="s">
        <v>697</v>
      </c>
      <c r="D268" s="41"/>
      <c r="E268" s="57">
        <v>3</v>
      </c>
      <c r="F268" s="43"/>
      <c r="G268" s="43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F268" s="30"/>
      <c r="AG268" s="30"/>
      <c r="AH268" s="30"/>
      <c r="AI268" s="30"/>
      <c r="AJ268" s="30"/>
      <c r="AK268" s="30"/>
      <c r="AL268" s="30"/>
      <c r="AM268" s="30"/>
      <c r="AN268" s="30"/>
      <c r="AO268" s="30"/>
      <c r="AP268" s="30"/>
      <c r="AQ268" s="30"/>
      <c r="AR268" s="30"/>
      <c r="AS268" s="30"/>
      <c r="AT268" s="30"/>
      <c r="AU268" s="30"/>
      <c r="AV268" s="30"/>
      <c r="AW268" s="30"/>
      <c r="AX268" s="30"/>
      <c r="AY268" s="30"/>
    </row>
    <row r="269" spans="1:51" outlineLevel="1">
      <c r="A269" s="44"/>
      <c r="B269" s="37"/>
      <c r="C269" s="51" t="s">
        <v>698</v>
      </c>
      <c r="D269" s="41"/>
      <c r="E269" s="57">
        <v>6</v>
      </c>
      <c r="F269" s="43"/>
      <c r="G269" s="43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F269" s="30"/>
      <c r="AG269" s="30"/>
      <c r="AH269" s="30"/>
      <c r="AI269" s="30"/>
      <c r="AJ269" s="30"/>
      <c r="AK269" s="30"/>
      <c r="AL269" s="30"/>
      <c r="AM269" s="30"/>
      <c r="AN269" s="30"/>
      <c r="AO269" s="30"/>
      <c r="AP269" s="30"/>
      <c r="AQ269" s="30"/>
      <c r="AR269" s="30"/>
      <c r="AS269" s="30"/>
      <c r="AT269" s="30"/>
      <c r="AU269" s="30"/>
      <c r="AV269" s="30"/>
      <c r="AW269" s="30"/>
      <c r="AX269" s="30"/>
      <c r="AY269" s="30"/>
    </row>
    <row r="270" spans="1:51" outlineLevel="1">
      <c r="A270" s="44">
        <v>134</v>
      </c>
      <c r="B270" s="37" t="s">
        <v>699</v>
      </c>
      <c r="C270" s="49" t="s">
        <v>694</v>
      </c>
      <c r="D270" s="39" t="s">
        <v>158</v>
      </c>
      <c r="E270" s="55">
        <v>8</v>
      </c>
      <c r="F270" s="43"/>
      <c r="G270" s="43">
        <f>E270*F270</f>
        <v>0</v>
      </c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F270" s="30"/>
      <c r="AG270" s="30"/>
      <c r="AH270" s="30"/>
      <c r="AI270" s="30"/>
      <c r="AJ270" s="30"/>
      <c r="AK270" s="30"/>
      <c r="AL270" s="30"/>
      <c r="AM270" s="30"/>
      <c r="AN270" s="30"/>
      <c r="AO270" s="30"/>
      <c r="AP270" s="30"/>
      <c r="AQ270" s="30"/>
      <c r="AR270" s="30"/>
      <c r="AS270" s="30"/>
      <c r="AT270" s="30"/>
      <c r="AU270" s="30"/>
      <c r="AV270" s="30"/>
      <c r="AW270" s="30"/>
      <c r="AX270" s="30"/>
      <c r="AY270" s="30"/>
    </row>
    <row r="271" spans="1:51" outlineLevel="1">
      <c r="A271" s="44"/>
      <c r="B271" s="37"/>
      <c r="C271" s="51" t="s">
        <v>700</v>
      </c>
      <c r="D271" s="41"/>
      <c r="E271" s="57"/>
      <c r="F271" s="43"/>
      <c r="G271" s="43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F271" s="30"/>
      <c r="AG271" s="30"/>
      <c r="AH271" s="30"/>
      <c r="AI271" s="30"/>
      <c r="AJ271" s="30"/>
      <c r="AK271" s="30"/>
      <c r="AL271" s="30"/>
      <c r="AM271" s="30"/>
      <c r="AN271" s="30"/>
      <c r="AO271" s="30"/>
      <c r="AP271" s="30"/>
      <c r="AQ271" s="30"/>
      <c r="AR271" s="30"/>
      <c r="AS271" s="30"/>
      <c r="AT271" s="30"/>
      <c r="AU271" s="30"/>
      <c r="AV271" s="30"/>
      <c r="AW271" s="30"/>
      <c r="AX271" s="30"/>
      <c r="AY271" s="30"/>
    </row>
    <row r="272" spans="1:51" outlineLevel="1">
      <c r="A272" s="44"/>
      <c r="B272" s="37"/>
      <c r="C272" s="51" t="s">
        <v>701</v>
      </c>
      <c r="D272" s="41"/>
      <c r="E272" s="57">
        <v>6</v>
      </c>
      <c r="F272" s="43"/>
      <c r="G272" s="43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F272" s="30"/>
      <c r="AG272" s="30"/>
      <c r="AH272" s="30"/>
      <c r="AI272" s="30"/>
      <c r="AJ272" s="30"/>
      <c r="AK272" s="30"/>
      <c r="AL272" s="30"/>
      <c r="AM272" s="30"/>
      <c r="AN272" s="30"/>
      <c r="AO272" s="30"/>
      <c r="AP272" s="30"/>
      <c r="AQ272" s="30"/>
      <c r="AR272" s="30"/>
      <c r="AS272" s="30"/>
      <c r="AT272" s="30"/>
      <c r="AU272" s="30"/>
      <c r="AV272" s="30"/>
      <c r="AW272" s="30"/>
      <c r="AX272" s="30"/>
      <c r="AY272" s="30"/>
    </row>
    <row r="273" spans="1:51" outlineLevel="1">
      <c r="A273" s="44"/>
      <c r="B273" s="37"/>
      <c r="C273" s="51" t="s">
        <v>702</v>
      </c>
      <c r="D273" s="41"/>
      <c r="E273" s="57">
        <v>2</v>
      </c>
      <c r="F273" s="43"/>
      <c r="G273" s="43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F273" s="30"/>
      <c r="AG273" s="30"/>
      <c r="AH273" s="30"/>
      <c r="AI273" s="30"/>
      <c r="AJ273" s="30"/>
      <c r="AK273" s="30"/>
      <c r="AL273" s="30"/>
      <c r="AM273" s="30"/>
      <c r="AN273" s="30"/>
      <c r="AO273" s="30"/>
      <c r="AP273" s="30"/>
      <c r="AQ273" s="30"/>
      <c r="AR273" s="30"/>
      <c r="AS273" s="30"/>
      <c r="AT273" s="30"/>
      <c r="AU273" s="30"/>
      <c r="AV273" s="30"/>
      <c r="AW273" s="30"/>
      <c r="AX273" s="30"/>
      <c r="AY273" s="30"/>
    </row>
    <row r="274" spans="1:51" outlineLevel="1">
      <c r="A274" s="44"/>
      <c r="B274" s="37"/>
      <c r="C274" s="51" t="s">
        <v>703</v>
      </c>
      <c r="D274" s="41"/>
      <c r="E274" s="57">
        <v>0</v>
      </c>
      <c r="F274" s="43"/>
      <c r="G274" s="43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</row>
    <row r="275" spans="1:51" outlineLevel="1">
      <c r="A275" s="44"/>
      <c r="B275" s="37"/>
      <c r="C275" s="51" t="s">
        <v>704</v>
      </c>
      <c r="D275" s="41"/>
      <c r="E275" s="57">
        <v>0</v>
      </c>
      <c r="F275" s="43"/>
      <c r="G275" s="43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F275" s="30"/>
      <c r="AG275" s="30"/>
      <c r="AH275" s="30"/>
      <c r="AI275" s="30"/>
      <c r="AJ275" s="30"/>
      <c r="AK275" s="30"/>
      <c r="AL275" s="30"/>
      <c r="AM275" s="30"/>
      <c r="AN275" s="30"/>
      <c r="AO275" s="30"/>
      <c r="AP275" s="30"/>
      <c r="AQ275" s="30"/>
      <c r="AR275" s="30"/>
      <c r="AS275" s="30"/>
      <c r="AT275" s="30"/>
      <c r="AU275" s="30"/>
      <c r="AV275" s="30"/>
      <c r="AW275" s="30"/>
      <c r="AX275" s="30"/>
      <c r="AY275" s="30"/>
    </row>
    <row r="276" spans="1:51" ht="22.5" outlineLevel="1">
      <c r="A276" s="44">
        <v>135</v>
      </c>
      <c r="B276" s="37" t="s">
        <v>705</v>
      </c>
      <c r="C276" s="49" t="s">
        <v>706</v>
      </c>
      <c r="D276" s="39" t="s">
        <v>158</v>
      </c>
      <c r="E276" s="55">
        <v>1</v>
      </c>
      <c r="F276" s="43"/>
      <c r="G276" s="43">
        <f>E276*F276</f>
        <v>0</v>
      </c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F276" s="30"/>
      <c r="AG276" s="30"/>
      <c r="AH276" s="30"/>
      <c r="AI276" s="30"/>
      <c r="AJ276" s="30"/>
      <c r="AK276" s="30"/>
      <c r="AL276" s="30"/>
      <c r="AM276" s="30"/>
      <c r="AN276" s="30"/>
      <c r="AO276" s="30"/>
      <c r="AP276" s="30"/>
      <c r="AQ276" s="30"/>
      <c r="AR276" s="30"/>
      <c r="AS276" s="30"/>
      <c r="AT276" s="30"/>
      <c r="AU276" s="30"/>
      <c r="AV276" s="30"/>
      <c r="AW276" s="30"/>
      <c r="AX276" s="30"/>
      <c r="AY276" s="30"/>
    </row>
    <row r="277" spans="1:51" ht="34.5" customHeight="1" outlineLevel="1">
      <c r="A277" s="44"/>
      <c r="B277" s="37"/>
      <c r="C277" s="326" t="s">
        <v>707</v>
      </c>
      <c r="D277" s="383"/>
      <c r="E277" s="383"/>
      <c r="F277" s="383"/>
      <c r="G277" s="384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F277" s="30"/>
      <c r="AG277" s="30"/>
      <c r="AH277" s="30"/>
      <c r="AI277" s="30"/>
      <c r="AJ277" s="30"/>
      <c r="AK277" s="30"/>
      <c r="AL277" s="30"/>
      <c r="AM277" s="30"/>
      <c r="AN277" s="30"/>
      <c r="AO277" s="30"/>
      <c r="AP277" s="30"/>
      <c r="AQ277" s="30"/>
      <c r="AR277" s="36" t="str">
        <f>C277</f>
        <v>typ S - HSE  z žárově pozink.plechu  s těsněním, drážkou a povrch.úpravou,platí pro všechny zárubně - viz popis v kcí.zámečnických.</v>
      </c>
      <c r="AS277" s="30"/>
      <c r="AT277" s="30"/>
      <c r="AU277" s="30"/>
      <c r="AV277" s="30"/>
      <c r="AW277" s="30"/>
      <c r="AX277" s="30"/>
      <c r="AY277" s="30"/>
    </row>
    <row r="278" spans="1:51" outlineLevel="1">
      <c r="A278" s="44"/>
      <c r="B278" s="37"/>
      <c r="C278" s="51" t="s">
        <v>700</v>
      </c>
      <c r="D278" s="41"/>
      <c r="E278" s="57"/>
      <c r="F278" s="43"/>
      <c r="G278" s="43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F278" s="30"/>
      <c r="AG278" s="30"/>
      <c r="AH278" s="30"/>
      <c r="AI278" s="30"/>
      <c r="AJ278" s="30"/>
      <c r="AK278" s="30"/>
      <c r="AL278" s="30"/>
      <c r="AM278" s="30"/>
      <c r="AN278" s="30"/>
      <c r="AO278" s="30"/>
      <c r="AP278" s="30"/>
      <c r="AQ278" s="30"/>
      <c r="AR278" s="30"/>
      <c r="AS278" s="30"/>
      <c r="AT278" s="30"/>
      <c r="AU278" s="30"/>
      <c r="AV278" s="30"/>
      <c r="AW278" s="30"/>
      <c r="AX278" s="30"/>
      <c r="AY278" s="30"/>
    </row>
    <row r="279" spans="1:51" outlineLevel="1">
      <c r="A279" s="44"/>
      <c r="B279" s="37"/>
      <c r="C279" s="51" t="s">
        <v>704</v>
      </c>
      <c r="D279" s="41"/>
      <c r="E279" s="57">
        <v>1</v>
      </c>
      <c r="F279" s="43"/>
      <c r="G279" s="43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F279" s="30"/>
      <c r="AG279" s="30"/>
      <c r="AH279" s="30"/>
      <c r="AI279" s="30"/>
      <c r="AJ279" s="30"/>
      <c r="AK279" s="30"/>
      <c r="AL279" s="30"/>
      <c r="AM279" s="30"/>
      <c r="AN279" s="30"/>
      <c r="AO279" s="30"/>
      <c r="AP279" s="30"/>
      <c r="AQ279" s="30"/>
      <c r="AR279" s="30"/>
      <c r="AS279" s="30"/>
      <c r="AT279" s="30"/>
      <c r="AU279" s="30"/>
      <c r="AV279" s="30"/>
      <c r="AW279" s="30"/>
      <c r="AX279" s="30"/>
      <c r="AY279" s="30"/>
    </row>
    <row r="280" spans="1:51" ht="22.5" outlineLevel="1">
      <c r="A280" s="44">
        <v>136</v>
      </c>
      <c r="B280" s="37" t="s">
        <v>705</v>
      </c>
      <c r="C280" s="49" t="s">
        <v>708</v>
      </c>
      <c r="D280" s="39" t="s">
        <v>158</v>
      </c>
      <c r="E280" s="55">
        <v>1</v>
      </c>
      <c r="F280" s="43"/>
      <c r="G280" s="43">
        <f>E280*F280</f>
        <v>0</v>
      </c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F280" s="30"/>
      <c r="AG280" s="30"/>
      <c r="AH280" s="30"/>
      <c r="AI280" s="30"/>
      <c r="AJ280" s="30"/>
      <c r="AK280" s="30"/>
      <c r="AL280" s="30"/>
      <c r="AM280" s="30"/>
      <c r="AN280" s="30"/>
      <c r="AO280" s="30"/>
      <c r="AP280" s="30"/>
      <c r="AQ280" s="30"/>
      <c r="AR280" s="30"/>
      <c r="AS280" s="30"/>
      <c r="AT280" s="30"/>
      <c r="AU280" s="30"/>
      <c r="AV280" s="30"/>
      <c r="AW280" s="30"/>
      <c r="AX280" s="30"/>
      <c r="AY280" s="30"/>
    </row>
    <row r="281" spans="1:51" outlineLevel="1">
      <c r="A281" s="44"/>
      <c r="B281" s="37"/>
      <c r="C281" s="51" t="s">
        <v>695</v>
      </c>
      <c r="D281" s="41"/>
      <c r="E281" s="57"/>
      <c r="F281" s="43"/>
      <c r="G281" s="43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F281" s="30"/>
      <c r="AG281" s="30"/>
      <c r="AH281" s="30"/>
      <c r="AI281" s="30"/>
      <c r="AJ281" s="30"/>
      <c r="AK281" s="30"/>
      <c r="AL281" s="30"/>
      <c r="AM281" s="30"/>
      <c r="AN281" s="30"/>
      <c r="AO281" s="30"/>
      <c r="AP281" s="30"/>
      <c r="AQ281" s="30"/>
      <c r="AR281" s="30"/>
      <c r="AS281" s="30"/>
      <c r="AT281" s="30"/>
      <c r="AU281" s="30"/>
      <c r="AV281" s="30"/>
      <c r="AW281" s="30"/>
      <c r="AX281" s="30"/>
      <c r="AY281" s="30"/>
    </row>
    <row r="282" spans="1:51" outlineLevel="1">
      <c r="A282" s="44"/>
      <c r="B282" s="37"/>
      <c r="C282" s="51" t="s">
        <v>709</v>
      </c>
      <c r="D282" s="41"/>
      <c r="E282" s="57">
        <v>1</v>
      </c>
      <c r="F282" s="43"/>
      <c r="G282" s="43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F282" s="30"/>
      <c r="AG282" s="30"/>
      <c r="AH282" s="30"/>
      <c r="AI282" s="30"/>
      <c r="AJ282" s="30"/>
      <c r="AK282" s="30"/>
      <c r="AL282" s="30"/>
      <c r="AM282" s="30"/>
      <c r="AN282" s="30"/>
      <c r="AO282" s="30"/>
      <c r="AP282" s="30"/>
      <c r="AQ282" s="30"/>
      <c r="AR282" s="30"/>
      <c r="AS282" s="30"/>
      <c r="AT282" s="30"/>
      <c r="AU282" s="30"/>
      <c r="AV282" s="30"/>
      <c r="AW282" s="30"/>
      <c r="AX282" s="30"/>
      <c r="AY282" s="30"/>
    </row>
    <row r="283" spans="1:51">
      <c r="A283" s="45" t="s">
        <v>49</v>
      </c>
      <c r="B283" s="38" t="s">
        <v>21</v>
      </c>
      <c r="C283" s="50" t="s">
        <v>22</v>
      </c>
      <c r="D283" s="40"/>
      <c r="E283" s="56"/>
      <c r="F283" s="330">
        <f>SUM(G284:G286)</f>
        <v>0</v>
      </c>
      <c r="G283" s="331"/>
    </row>
    <row r="284" spans="1:51" outlineLevel="1">
      <c r="A284" s="44">
        <v>138</v>
      </c>
      <c r="B284" s="37" t="s">
        <v>159</v>
      </c>
      <c r="C284" s="49" t="s">
        <v>160</v>
      </c>
      <c r="D284" s="39" t="s">
        <v>57</v>
      </c>
      <c r="E284" s="55">
        <v>5.12</v>
      </c>
      <c r="F284" s="43"/>
      <c r="G284" s="43">
        <f>E284*F284</f>
        <v>0</v>
      </c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F284" s="30"/>
      <c r="AG284" s="30"/>
      <c r="AH284" s="30"/>
      <c r="AI284" s="30"/>
      <c r="AJ284" s="30"/>
      <c r="AK284" s="30"/>
      <c r="AL284" s="30"/>
      <c r="AM284" s="30"/>
      <c r="AN284" s="30"/>
      <c r="AO284" s="30"/>
      <c r="AP284" s="30"/>
      <c r="AQ284" s="30"/>
    </row>
    <row r="285" spans="1:51" outlineLevel="1">
      <c r="A285" s="44"/>
      <c r="B285" s="37"/>
      <c r="C285" s="51" t="s">
        <v>161</v>
      </c>
      <c r="D285" s="41"/>
      <c r="E285" s="57"/>
      <c r="F285" s="43"/>
      <c r="G285" s="43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F285" s="30"/>
      <c r="AG285" s="30"/>
      <c r="AH285" s="30"/>
      <c r="AI285" s="30"/>
      <c r="AJ285" s="30"/>
      <c r="AK285" s="30"/>
      <c r="AL285" s="30"/>
      <c r="AM285" s="30"/>
      <c r="AN285" s="30"/>
      <c r="AO285" s="30"/>
      <c r="AP285" s="30"/>
      <c r="AQ285" s="30"/>
    </row>
    <row r="286" spans="1:51" outlineLevel="1">
      <c r="A286" s="44"/>
      <c r="B286" s="37"/>
      <c r="C286" s="51" t="s">
        <v>162</v>
      </c>
      <c r="D286" s="41"/>
      <c r="E286" s="57">
        <v>5.12</v>
      </c>
      <c r="F286" s="43"/>
      <c r="G286" s="43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F286" s="30"/>
      <c r="AG286" s="30"/>
      <c r="AH286" s="30"/>
      <c r="AI286" s="30"/>
      <c r="AJ286" s="30"/>
      <c r="AK286" s="30"/>
      <c r="AL286" s="30"/>
      <c r="AM286" s="30"/>
      <c r="AN286" s="30"/>
      <c r="AO286" s="30"/>
      <c r="AP286" s="30"/>
      <c r="AQ286" s="30"/>
    </row>
    <row r="287" spans="1:51">
      <c r="A287" s="45" t="s">
        <v>49</v>
      </c>
      <c r="B287" s="38" t="s">
        <v>23</v>
      </c>
      <c r="C287" s="50" t="s">
        <v>24</v>
      </c>
      <c r="D287" s="40"/>
      <c r="E287" s="56"/>
      <c r="F287" s="330">
        <f>SUM(G288:G303)</f>
        <v>0</v>
      </c>
      <c r="G287" s="331"/>
    </row>
    <row r="288" spans="1:51" outlineLevel="1">
      <c r="A288" s="44">
        <v>153</v>
      </c>
      <c r="B288" s="37" t="s">
        <v>165</v>
      </c>
      <c r="C288" s="49" t="s">
        <v>166</v>
      </c>
      <c r="D288" s="39" t="s">
        <v>55</v>
      </c>
      <c r="E288" s="55">
        <v>0.09</v>
      </c>
      <c r="F288" s="43"/>
      <c r="G288" s="43">
        <f>E288*F288</f>
        <v>0</v>
      </c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F288" s="30"/>
      <c r="AG288" s="30"/>
      <c r="AH288" s="30"/>
      <c r="AI288" s="30"/>
      <c r="AJ288" s="30"/>
      <c r="AK288" s="30"/>
      <c r="AL288" s="30"/>
      <c r="AM288" s="30"/>
      <c r="AN288" s="30"/>
      <c r="AO288" s="30"/>
      <c r="AP288" s="30"/>
      <c r="AQ288" s="30"/>
    </row>
    <row r="289" spans="1:43" ht="12.75" customHeight="1" outlineLevel="1">
      <c r="A289" s="44"/>
      <c r="B289" s="37"/>
      <c r="C289" s="326" t="s">
        <v>167</v>
      </c>
      <c r="D289" s="383"/>
      <c r="E289" s="383"/>
      <c r="F289" s="383"/>
      <c r="G289" s="384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F289" s="30"/>
      <c r="AG289" s="30"/>
      <c r="AH289" s="30"/>
      <c r="AI289" s="30"/>
      <c r="AJ289" s="36" t="str">
        <f>C289</f>
        <v>Včetně pomocného lešení o výšce podlahy do 1900 mm a pro zatížení do 1,5 kPa  (150 kg/m2).</v>
      </c>
      <c r="AK289" s="30"/>
      <c r="AL289" s="30"/>
      <c r="AM289" s="30"/>
      <c r="AN289" s="30"/>
      <c r="AO289" s="30"/>
      <c r="AP289" s="30"/>
      <c r="AQ289" s="30"/>
    </row>
    <row r="290" spans="1:43" outlineLevel="1">
      <c r="A290" s="44"/>
      <c r="B290" s="37"/>
      <c r="C290" s="51" t="s">
        <v>168</v>
      </c>
      <c r="D290" s="41"/>
      <c r="E290" s="57"/>
      <c r="F290" s="43"/>
      <c r="G290" s="43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F290" s="30"/>
      <c r="AG290" s="30"/>
      <c r="AH290" s="30"/>
      <c r="AI290" s="30"/>
      <c r="AJ290" s="30"/>
      <c r="AK290" s="30"/>
      <c r="AL290" s="30"/>
      <c r="AM290" s="30"/>
      <c r="AN290" s="30"/>
      <c r="AO290" s="30"/>
      <c r="AP290" s="30"/>
      <c r="AQ290" s="30"/>
    </row>
    <row r="291" spans="1:43" outlineLevel="1">
      <c r="A291" s="44"/>
      <c r="B291" s="37"/>
      <c r="C291" s="51" t="s">
        <v>169</v>
      </c>
      <c r="D291" s="41"/>
      <c r="E291" s="57">
        <v>0.09</v>
      </c>
      <c r="F291" s="43"/>
      <c r="G291" s="43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F291" s="30"/>
      <c r="AG291" s="30"/>
      <c r="AH291" s="30"/>
      <c r="AI291" s="30"/>
      <c r="AJ291" s="30"/>
      <c r="AK291" s="30"/>
      <c r="AL291" s="30"/>
      <c r="AM291" s="30"/>
      <c r="AN291" s="30"/>
      <c r="AO291" s="30"/>
      <c r="AP291" s="30"/>
      <c r="AQ291" s="30"/>
    </row>
    <row r="292" spans="1:43" outlineLevel="1">
      <c r="A292" s="44">
        <v>154</v>
      </c>
      <c r="B292" s="37" t="s">
        <v>170</v>
      </c>
      <c r="C292" s="49" t="s">
        <v>171</v>
      </c>
      <c r="D292" s="39" t="s">
        <v>52</v>
      </c>
      <c r="E292" s="55">
        <v>10</v>
      </c>
      <c r="F292" s="43"/>
      <c r="G292" s="43">
        <f>E292*F292</f>
        <v>0</v>
      </c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F292" s="30"/>
      <c r="AG292" s="30"/>
      <c r="AH292" s="30"/>
      <c r="AI292" s="30"/>
      <c r="AJ292" s="30"/>
      <c r="AK292" s="30"/>
      <c r="AL292" s="30"/>
      <c r="AM292" s="30"/>
      <c r="AN292" s="30"/>
      <c r="AO292" s="30"/>
      <c r="AP292" s="30"/>
      <c r="AQ292" s="30"/>
    </row>
    <row r="293" spans="1:43" ht="12.75" customHeight="1" outlineLevel="1">
      <c r="A293" s="44"/>
      <c r="B293" s="37"/>
      <c r="C293" s="326" t="s">
        <v>167</v>
      </c>
      <c r="D293" s="383"/>
      <c r="E293" s="383"/>
      <c r="F293" s="383"/>
      <c r="G293" s="384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F293" s="30"/>
      <c r="AG293" s="30"/>
      <c r="AH293" s="30"/>
      <c r="AI293" s="30"/>
      <c r="AJ293" s="36" t="str">
        <f>C293</f>
        <v>Včetně pomocného lešení o výšce podlahy do 1900 mm a pro zatížení do 1,5 kPa  (150 kg/m2).</v>
      </c>
      <c r="AK293" s="30"/>
      <c r="AL293" s="30"/>
      <c r="AM293" s="30"/>
      <c r="AN293" s="30"/>
      <c r="AO293" s="30"/>
      <c r="AP293" s="30"/>
      <c r="AQ293" s="30"/>
    </row>
    <row r="294" spans="1:43" outlineLevel="1">
      <c r="A294" s="44"/>
      <c r="B294" s="37"/>
      <c r="C294" s="51" t="s">
        <v>172</v>
      </c>
      <c r="D294" s="41"/>
      <c r="E294" s="57"/>
      <c r="F294" s="43"/>
      <c r="G294" s="43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F294" s="30"/>
      <c r="AG294" s="30"/>
      <c r="AH294" s="30"/>
      <c r="AI294" s="30"/>
      <c r="AJ294" s="30"/>
      <c r="AK294" s="30"/>
      <c r="AL294" s="30"/>
      <c r="AM294" s="30"/>
      <c r="AN294" s="30"/>
      <c r="AO294" s="30"/>
      <c r="AP294" s="30"/>
      <c r="AQ294" s="30"/>
    </row>
    <row r="295" spans="1:43" outlineLevel="1">
      <c r="A295" s="44"/>
      <c r="B295" s="37"/>
      <c r="C295" s="51" t="s">
        <v>173</v>
      </c>
      <c r="D295" s="41"/>
      <c r="E295" s="57">
        <v>10</v>
      </c>
      <c r="F295" s="43"/>
      <c r="G295" s="43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F295" s="30"/>
      <c r="AG295" s="30"/>
      <c r="AH295" s="30"/>
      <c r="AI295" s="30"/>
      <c r="AJ295" s="30"/>
      <c r="AK295" s="30"/>
      <c r="AL295" s="30"/>
      <c r="AM295" s="30"/>
      <c r="AN295" s="30"/>
      <c r="AO295" s="30"/>
      <c r="AP295" s="30"/>
      <c r="AQ295" s="30"/>
    </row>
    <row r="296" spans="1:43" outlineLevel="1">
      <c r="A296" s="44"/>
      <c r="B296" s="37"/>
      <c r="C296" s="51" t="s">
        <v>174</v>
      </c>
      <c r="D296" s="41"/>
      <c r="E296" s="57">
        <v>0</v>
      </c>
      <c r="F296" s="43"/>
      <c r="G296" s="43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F296" s="30"/>
      <c r="AG296" s="30"/>
      <c r="AH296" s="30"/>
      <c r="AI296" s="30"/>
      <c r="AJ296" s="30"/>
      <c r="AK296" s="30"/>
      <c r="AL296" s="30"/>
      <c r="AM296" s="30"/>
      <c r="AN296" s="30"/>
      <c r="AO296" s="30"/>
      <c r="AP296" s="30"/>
      <c r="AQ296" s="30"/>
    </row>
    <row r="297" spans="1:43" outlineLevel="1">
      <c r="A297" s="44">
        <v>155</v>
      </c>
      <c r="B297" s="37" t="s">
        <v>175</v>
      </c>
      <c r="C297" s="49" t="s">
        <v>176</v>
      </c>
      <c r="D297" s="39" t="s">
        <v>62</v>
      </c>
      <c r="E297" s="55">
        <v>2</v>
      </c>
      <c r="F297" s="43"/>
      <c r="G297" s="43">
        <f>E297*F297</f>
        <v>0</v>
      </c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F297" s="30"/>
      <c r="AG297" s="30"/>
      <c r="AH297" s="30"/>
      <c r="AI297" s="30"/>
      <c r="AJ297" s="30"/>
      <c r="AK297" s="30"/>
      <c r="AL297" s="30"/>
      <c r="AM297" s="30"/>
      <c r="AN297" s="30"/>
      <c r="AO297" s="30"/>
      <c r="AP297" s="30"/>
      <c r="AQ297" s="30"/>
    </row>
    <row r="298" spans="1:43" outlineLevel="1">
      <c r="A298" s="44"/>
      <c r="B298" s="37"/>
      <c r="C298" s="51" t="s">
        <v>168</v>
      </c>
      <c r="D298" s="41"/>
      <c r="E298" s="57"/>
      <c r="F298" s="43"/>
      <c r="G298" s="43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F298" s="30"/>
      <c r="AG298" s="30"/>
      <c r="AH298" s="30"/>
      <c r="AI298" s="30"/>
      <c r="AJ298" s="30"/>
      <c r="AK298" s="30"/>
      <c r="AL298" s="30"/>
      <c r="AM298" s="30"/>
      <c r="AN298" s="30"/>
      <c r="AO298" s="30"/>
      <c r="AP298" s="30"/>
      <c r="AQ298" s="30"/>
    </row>
    <row r="299" spans="1:43" outlineLevel="1">
      <c r="A299" s="44"/>
      <c r="B299" s="37"/>
      <c r="C299" s="51" t="s">
        <v>177</v>
      </c>
      <c r="D299" s="41"/>
      <c r="E299" s="57">
        <v>2</v>
      </c>
      <c r="F299" s="43"/>
      <c r="G299" s="43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F299" s="30"/>
      <c r="AG299" s="30"/>
      <c r="AH299" s="30"/>
      <c r="AI299" s="30"/>
      <c r="AJ299" s="30"/>
      <c r="AK299" s="30"/>
      <c r="AL299" s="30"/>
      <c r="AM299" s="30"/>
      <c r="AN299" s="30"/>
      <c r="AO299" s="30"/>
      <c r="AP299" s="30"/>
      <c r="AQ299" s="30"/>
    </row>
    <row r="300" spans="1:43" outlineLevel="1">
      <c r="A300" s="44">
        <v>156</v>
      </c>
      <c r="B300" s="37" t="s">
        <v>178</v>
      </c>
      <c r="C300" s="49" t="s">
        <v>179</v>
      </c>
      <c r="D300" s="39" t="s">
        <v>62</v>
      </c>
      <c r="E300" s="55">
        <v>20</v>
      </c>
      <c r="F300" s="43"/>
      <c r="G300" s="43">
        <f>E300*F300</f>
        <v>0</v>
      </c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F300" s="30"/>
      <c r="AG300" s="30"/>
      <c r="AH300" s="30"/>
      <c r="AI300" s="30"/>
      <c r="AJ300" s="30"/>
      <c r="AK300" s="30"/>
      <c r="AL300" s="30"/>
      <c r="AM300" s="30"/>
      <c r="AN300" s="30"/>
      <c r="AO300" s="30"/>
      <c r="AP300" s="30"/>
      <c r="AQ300" s="30"/>
    </row>
    <row r="301" spans="1:43" ht="12.75" customHeight="1" outlineLevel="1">
      <c r="A301" s="44"/>
      <c r="B301" s="37"/>
      <c r="C301" s="326" t="s">
        <v>167</v>
      </c>
      <c r="D301" s="383"/>
      <c r="E301" s="383"/>
      <c r="F301" s="383"/>
      <c r="G301" s="384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F301" s="30"/>
      <c r="AG301" s="30"/>
      <c r="AH301" s="30"/>
      <c r="AI301" s="30"/>
      <c r="AJ301" s="36" t="str">
        <f>C301</f>
        <v>Včetně pomocného lešení o výšce podlahy do 1900 mm a pro zatížení do 1,5 kPa  (150 kg/m2).</v>
      </c>
      <c r="AK301" s="30"/>
      <c r="AL301" s="30"/>
      <c r="AM301" s="30"/>
      <c r="AN301" s="30"/>
      <c r="AO301" s="30"/>
      <c r="AP301" s="30"/>
      <c r="AQ301" s="30"/>
    </row>
    <row r="302" spans="1:43" outlineLevel="1">
      <c r="A302" s="44"/>
      <c r="B302" s="37"/>
      <c r="C302" s="51" t="s">
        <v>180</v>
      </c>
      <c r="D302" s="41"/>
      <c r="E302" s="57"/>
      <c r="F302" s="43"/>
      <c r="G302" s="43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F302" s="30"/>
      <c r="AG302" s="30"/>
      <c r="AH302" s="30"/>
      <c r="AI302" s="30"/>
      <c r="AJ302" s="30"/>
      <c r="AK302" s="30"/>
      <c r="AL302" s="30"/>
      <c r="AM302" s="30"/>
      <c r="AN302" s="30"/>
      <c r="AO302" s="30"/>
      <c r="AP302" s="30"/>
      <c r="AQ302" s="30"/>
    </row>
    <row r="303" spans="1:43" outlineLevel="1">
      <c r="A303" s="44"/>
      <c r="B303" s="37"/>
      <c r="C303" s="51" t="s">
        <v>164</v>
      </c>
      <c r="D303" s="41"/>
      <c r="E303" s="57">
        <v>20</v>
      </c>
      <c r="F303" s="43"/>
      <c r="G303" s="43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F303" s="30"/>
      <c r="AG303" s="30"/>
      <c r="AH303" s="30"/>
      <c r="AI303" s="30"/>
      <c r="AJ303" s="30"/>
      <c r="AK303" s="30"/>
      <c r="AL303" s="30"/>
      <c r="AM303" s="30"/>
      <c r="AN303" s="30"/>
      <c r="AO303" s="30"/>
      <c r="AP303" s="30"/>
      <c r="AQ303" s="30"/>
    </row>
    <row r="304" spans="1:43">
      <c r="A304" s="45" t="s">
        <v>49</v>
      </c>
      <c r="B304" s="38" t="s">
        <v>25</v>
      </c>
      <c r="C304" s="50" t="s">
        <v>26</v>
      </c>
      <c r="D304" s="40"/>
      <c r="E304" s="56"/>
      <c r="F304" s="330">
        <f>SUM(G305:G325)</f>
        <v>0</v>
      </c>
      <c r="G304" s="331"/>
    </row>
    <row r="305" spans="1:43" ht="22.5" outlineLevel="1">
      <c r="A305" s="44">
        <v>159</v>
      </c>
      <c r="B305" s="37" t="s">
        <v>182</v>
      </c>
      <c r="C305" s="49" t="s">
        <v>183</v>
      </c>
      <c r="D305" s="39" t="s">
        <v>57</v>
      </c>
      <c r="E305" s="55">
        <v>301.76</v>
      </c>
      <c r="F305" s="43"/>
      <c r="G305" s="43">
        <f>E305*F305</f>
        <v>0</v>
      </c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F305" s="30"/>
      <c r="AG305" s="30"/>
      <c r="AH305" s="30"/>
      <c r="AI305" s="30"/>
      <c r="AJ305" s="30"/>
      <c r="AK305" s="30"/>
      <c r="AL305" s="30"/>
      <c r="AM305" s="30"/>
      <c r="AN305" s="30"/>
      <c r="AO305" s="30"/>
      <c r="AP305" s="30"/>
      <c r="AQ305" s="30"/>
    </row>
    <row r="306" spans="1:43" outlineLevel="1">
      <c r="A306" s="44"/>
      <c r="B306" s="37"/>
      <c r="C306" s="51" t="s">
        <v>184</v>
      </c>
      <c r="D306" s="41"/>
      <c r="E306" s="57"/>
      <c r="F306" s="43"/>
      <c r="G306" s="43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F306" s="30"/>
      <c r="AG306" s="30"/>
      <c r="AH306" s="30"/>
      <c r="AI306" s="30"/>
      <c r="AJ306" s="30"/>
      <c r="AK306" s="30"/>
      <c r="AL306" s="30"/>
      <c r="AM306" s="30"/>
      <c r="AN306" s="30"/>
      <c r="AO306" s="30"/>
      <c r="AP306" s="30"/>
      <c r="AQ306" s="30"/>
    </row>
    <row r="307" spans="1:43" outlineLevel="1">
      <c r="A307" s="44"/>
      <c r="B307" s="37"/>
      <c r="C307" s="51" t="s">
        <v>185</v>
      </c>
      <c r="D307" s="41"/>
      <c r="E307" s="57">
        <v>301.76</v>
      </c>
      <c r="F307" s="43"/>
      <c r="G307" s="43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F307" s="30"/>
      <c r="AG307" s="30"/>
      <c r="AH307" s="30"/>
      <c r="AI307" s="30"/>
      <c r="AJ307" s="30"/>
      <c r="AK307" s="30"/>
      <c r="AL307" s="30"/>
      <c r="AM307" s="30"/>
      <c r="AN307" s="30"/>
      <c r="AO307" s="30"/>
      <c r="AP307" s="30"/>
      <c r="AQ307" s="30"/>
    </row>
    <row r="308" spans="1:43" ht="22.5" outlineLevel="1">
      <c r="A308" s="44">
        <v>160</v>
      </c>
      <c r="B308" s="37" t="s">
        <v>186</v>
      </c>
      <c r="C308" s="49" t="s">
        <v>187</v>
      </c>
      <c r="D308" s="39" t="s">
        <v>57</v>
      </c>
      <c r="E308" s="55">
        <v>95.045000000000002</v>
      </c>
      <c r="F308" s="43"/>
      <c r="G308" s="43">
        <f>E308*F308</f>
        <v>0</v>
      </c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F308" s="30"/>
      <c r="AG308" s="30"/>
      <c r="AH308" s="30"/>
      <c r="AI308" s="30"/>
      <c r="AJ308" s="30"/>
      <c r="AK308" s="30"/>
      <c r="AL308" s="30"/>
      <c r="AM308" s="30"/>
      <c r="AN308" s="30"/>
      <c r="AO308" s="30"/>
      <c r="AP308" s="30"/>
      <c r="AQ308" s="30"/>
    </row>
    <row r="309" spans="1:43" outlineLevel="1">
      <c r="A309" s="44"/>
      <c r="B309" s="37"/>
      <c r="C309" s="51" t="s">
        <v>163</v>
      </c>
      <c r="D309" s="41"/>
      <c r="E309" s="57"/>
      <c r="F309" s="43"/>
      <c r="G309" s="43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F309" s="30"/>
      <c r="AG309" s="30"/>
      <c r="AH309" s="30"/>
      <c r="AI309" s="30"/>
      <c r="AJ309" s="30"/>
      <c r="AK309" s="30"/>
      <c r="AL309" s="30"/>
      <c r="AM309" s="30"/>
      <c r="AN309" s="30"/>
      <c r="AO309" s="30"/>
      <c r="AP309" s="30"/>
      <c r="AQ309" s="30"/>
    </row>
    <row r="310" spans="1:43" outlineLevel="1">
      <c r="A310" s="44"/>
      <c r="B310" s="37"/>
      <c r="C310" s="51" t="s">
        <v>188</v>
      </c>
      <c r="D310" s="41"/>
      <c r="E310" s="57">
        <v>44.08</v>
      </c>
      <c r="F310" s="43"/>
      <c r="G310" s="43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F310" s="30"/>
      <c r="AG310" s="30"/>
      <c r="AH310" s="30"/>
      <c r="AI310" s="30"/>
      <c r="AJ310" s="30"/>
      <c r="AK310" s="30"/>
      <c r="AL310" s="30"/>
      <c r="AM310" s="30"/>
      <c r="AN310" s="30"/>
      <c r="AO310" s="30"/>
      <c r="AP310" s="30"/>
      <c r="AQ310" s="30"/>
    </row>
    <row r="311" spans="1:43" outlineLevel="1">
      <c r="A311" s="44"/>
      <c r="B311" s="37"/>
      <c r="C311" s="51" t="s">
        <v>189</v>
      </c>
      <c r="D311" s="41"/>
      <c r="E311" s="57"/>
      <c r="F311" s="43"/>
      <c r="G311" s="43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F311" s="30"/>
      <c r="AG311" s="30"/>
      <c r="AH311" s="30"/>
      <c r="AI311" s="30"/>
      <c r="AJ311" s="30"/>
      <c r="AK311" s="30"/>
      <c r="AL311" s="30"/>
      <c r="AM311" s="30"/>
      <c r="AN311" s="30"/>
      <c r="AO311" s="30"/>
      <c r="AP311" s="30"/>
      <c r="AQ311" s="30"/>
    </row>
    <row r="312" spans="1:43" outlineLevel="1">
      <c r="A312" s="44"/>
      <c r="B312" s="37"/>
      <c r="C312" s="51" t="s">
        <v>190</v>
      </c>
      <c r="D312" s="41"/>
      <c r="E312" s="57">
        <v>21</v>
      </c>
      <c r="F312" s="43"/>
      <c r="G312" s="43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F312" s="30"/>
      <c r="AG312" s="30"/>
      <c r="AH312" s="30"/>
      <c r="AI312" s="30"/>
      <c r="AJ312" s="30"/>
      <c r="AK312" s="30"/>
      <c r="AL312" s="30"/>
      <c r="AM312" s="30"/>
      <c r="AN312" s="30"/>
      <c r="AO312" s="30"/>
      <c r="AP312" s="30"/>
      <c r="AQ312" s="30"/>
    </row>
    <row r="313" spans="1:43" outlineLevel="1">
      <c r="A313" s="44"/>
      <c r="B313" s="37"/>
      <c r="C313" s="51" t="s">
        <v>191</v>
      </c>
      <c r="D313" s="41"/>
      <c r="E313" s="57"/>
      <c r="F313" s="43"/>
      <c r="G313" s="43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F313" s="30"/>
      <c r="AG313" s="30"/>
      <c r="AH313" s="30"/>
      <c r="AI313" s="30"/>
      <c r="AJ313" s="30"/>
      <c r="AK313" s="30"/>
      <c r="AL313" s="30"/>
      <c r="AM313" s="30"/>
      <c r="AN313" s="30"/>
      <c r="AO313" s="30"/>
      <c r="AP313" s="30"/>
      <c r="AQ313" s="30"/>
    </row>
    <row r="314" spans="1:43" outlineLevel="1">
      <c r="A314" s="44"/>
      <c r="B314" s="37"/>
      <c r="C314" s="51" t="s">
        <v>192</v>
      </c>
      <c r="D314" s="41"/>
      <c r="E314" s="57">
        <v>29.965</v>
      </c>
      <c r="F314" s="43"/>
      <c r="G314" s="43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F314" s="30"/>
      <c r="AG314" s="30"/>
      <c r="AH314" s="30"/>
      <c r="AI314" s="30"/>
      <c r="AJ314" s="30"/>
      <c r="AK314" s="30"/>
      <c r="AL314" s="30"/>
      <c r="AM314" s="30"/>
      <c r="AN314" s="30"/>
      <c r="AO314" s="30"/>
      <c r="AP314" s="30"/>
      <c r="AQ314" s="30"/>
    </row>
    <row r="315" spans="1:43" ht="33.75" outlineLevel="1">
      <c r="A315" s="44">
        <v>161</v>
      </c>
      <c r="B315" s="37" t="s">
        <v>193</v>
      </c>
      <c r="C315" s="49" t="s">
        <v>194</v>
      </c>
      <c r="D315" s="39" t="s">
        <v>57</v>
      </c>
      <c r="E315" s="55">
        <v>301.76</v>
      </c>
      <c r="F315" s="43"/>
      <c r="G315" s="43">
        <f>E315*F315</f>
        <v>0</v>
      </c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F315" s="30"/>
      <c r="AG315" s="30"/>
      <c r="AH315" s="30"/>
      <c r="AI315" s="30"/>
      <c r="AJ315" s="30"/>
      <c r="AK315" s="30"/>
      <c r="AL315" s="30"/>
      <c r="AM315" s="30"/>
      <c r="AN315" s="30"/>
      <c r="AO315" s="30"/>
      <c r="AP315" s="30"/>
      <c r="AQ315" s="30"/>
    </row>
    <row r="316" spans="1:43" ht="22.5" customHeight="1" outlineLevel="1">
      <c r="A316" s="44"/>
      <c r="B316" s="37"/>
      <c r="C316" s="326" t="s">
        <v>195</v>
      </c>
      <c r="D316" s="383"/>
      <c r="E316" s="383"/>
      <c r="F316" s="383"/>
      <c r="G316" s="384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F316" s="30"/>
      <c r="AG316" s="30"/>
      <c r="AH316" s="30"/>
      <c r="AI316" s="30"/>
      <c r="AJ316" s="36" t="str">
        <f>C316</f>
        <v>Provedení očištění povrchu a natavení jedné vrstvy modifikovaného asfaltového pásu včetně dodávky materiálů.</v>
      </c>
      <c r="AK316" s="30"/>
      <c r="AL316" s="30"/>
      <c r="AM316" s="30"/>
      <c r="AN316" s="30"/>
      <c r="AO316" s="30"/>
      <c r="AP316" s="30"/>
      <c r="AQ316" s="30"/>
    </row>
    <row r="317" spans="1:43" ht="33.75" outlineLevel="1">
      <c r="A317" s="44">
        <v>162</v>
      </c>
      <c r="B317" s="37" t="s">
        <v>196</v>
      </c>
      <c r="C317" s="49" t="s">
        <v>197</v>
      </c>
      <c r="D317" s="39" t="s">
        <v>57</v>
      </c>
      <c r="E317" s="55">
        <v>95.05</v>
      </c>
      <c r="F317" s="43"/>
      <c r="G317" s="43">
        <f>E317*F317</f>
        <v>0</v>
      </c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F317" s="30"/>
      <c r="AG317" s="30"/>
      <c r="AH317" s="30"/>
      <c r="AI317" s="30"/>
      <c r="AJ317" s="30"/>
      <c r="AK317" s="30"/>
      <c r="AL317" s="30"/>
      <c r="AM317" s="30"/>
      <c r="AN317" s="30"/>
      <c r="AO317" s="30"/>
      <c r="AP317" s="30"/>
      <c r="AQ317" s="30"/>
    </row>
    <row r="318" spans="1:43" outlineLevel="1">
      <c r="A318" s="44">
        <v>163</v>
      </c>
      <c r="B318" s="37" t="s">
        <v>198</v>
      </c>
      <c r="C318" s="49" t="s">
        <v>199</v>
      </c>
      <c r="D318" s="39" t="s">
        <v>57</v>
      </c>
      <c r="E318" s="55">
        <v>26.145</v>
      </c>
      <c r="F318" s="43"/>
      <c r="G318" s="43">
        <f>E318*F318</f>
        <v>0</v>
      </c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F318" s="30"/>
      <c r="AG318" s="30"/>
      <c r="AH318" s="30"/>
      <c r="AI318" s="30"/>
      <c r="AJ318" s="30"/>
      <c r="AK318" s="30"/>
      <c r="AL318" s="30"/>
      <c r="AM318" s="30"/>
      <c r="AN318" s="30"/>
      <c r="AO318" s="30"/>
      <c r="AP318" s="30"/>
      <c r="AQ318" s="30"/>
    </row>
    <row r="319" spans="1:43" outlineLevel="1">
      <c r="A319" s="44"/>
      <c r="B319" s="37"/>
      <c r="C319" s="326" t="s">
        <v>200</v>
      </c>
      <c r="D319" s="383"/>
      <c r="E319" s="383"/>
      <c r="F319" s="383"/>
      <c r="G319" s="384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F319" s="30"/>
      <c r="AG319" s="30"/>
      <c r="AH319" s="30"/>
      <c r="AI319" s="30"/>
      <c r="AJ319" s="36" t="str">
        <f>C319</f>
        <v>dvouvrstvá</v>
      </c>
      <c r="AK319" s="30"/>
      <c r="AL319" s="30"/>
      <c r="AM319" s="30"/>
      <c r="AN319" s="30"/>
      <c r="AO319" s="30"/>
      <c r="AP319" s="30"/>
      <c r="AQ319" s="30"/>
    </row>
    <row r="320" spans="1:43" outlineLevel="1">
      <c r="A320" s="44"/>
      <c r="B320" s="37"/>
      <c r="C320" s="51" t="s">
        <v>201</v>
      </c>
      <c r="D320" s="41"/>
      <c r="E320" s="57">
        <v>11.145</v>
      </c>
      <c r="F320" s="43"/>
      <c r="G320" s="43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F320" s="30"/>
      <c r="AG320" s="30"/>
      <c r="AH320" s="30"/>
      <c r="AI320" s="30"/>
      <c r="AJ320" s="30"/>
      <c r="AK320" s="30"/>
      <c r="AL320" s="30"/>
      <c r="AM320" s="30"/>
      <c r="AN320" s="30"/>
      <c r="AO320" s="30"/>
      <c r="AP320" s="30"/>
      <c r="AQ320" s="30"/>
    </row>
    <row r="321" spans="1:43" outlineLevel="1">
      <c r="A321" s="44"/>
      <c r="B321" s="37"/>
      <c r="C321" s="51" t="s">
        <v>202</v>
      </c>
      <c r="D321" s="41"/>
      <c r="E321" s="57">
        <v>15</v>
      </c>
      <c r="F321" s="43"/>
      <c r="G321" s="43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F321" s="30"/>
      <c r="AG321" s="30"/>
      <c r="AH321" s="30"/>
      <c r="AI321" s="30"/>
      <c r="AJ321" s="30"/>
      <c r="AK321" s="30"/>
      <c r="AL321" s="30"/>
      <c r="AM321" s="30"/>
      <c r="AN321" s="30"/>
      <c r="AO321" s="30"/>
      <c r="AP321" s="30"/>
      <c r="AQ321" s="30"/>
    </row>
    <row r="322" spans="1:43" outlineLevel="1">
      <c r="A322" s="44">
        <v>164</v>
      </c>
      <c r="B322" s="37" t="s">
        <v>203</v>
      </c>
      <c r="C322" s="49" t="s">
        <v>204</v>
      </c>
      <c r="D322" s="39" t="s">
        <v>62</v>
      </c>
      <c r="E322" s="55">
        <v>0</v>
      </c>
      <c r="F322" s="43"/>
      <c r="G322" s="43">
        <f>E322*F322</f>
        <v>0</v>
      </c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F322" s="30"/>
      <c r="AG322" s="30"/>
      <c r="AH322" s="30"/>
      <c r="AI322" s="30"/>
      <c r="AJ322" s="30"/>
      <c r="AK322" s="30"/>
      <c r="AL322" s="30"/>
      <c r="AM322" s="30"/>
      <c r="AN322" s="30"/>
      <c r="AO322" s="30"/>
      <c r="AP322" s="30"/>
      <c r="AQ322" s="30"/>
    </row>
    <row r="323" spans="1:43" outlineLevel="1">
      <c r="A323" s="44"/>
      <c r="B323" s="37"/>
      <c r="C323" s="51" t="s">
        <v>163</v>
      </c>
      <c r="D323" s="41"/>
      <c r="E323" s="57"/>
      <c r="F323" s="43"/>
      <c r="G323" s="43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F323" s="30"/>
      <c r="AG323" s="30"/>
      <c r="AH323" s="30"/>
      <c r="AI323" s="30"/>
      <c r="AJ323" s="30"/>
      <c r="AK323" s="30"/>
      <c r="AL323" s="30"/>
      <c r="AM323" s="30"/>
      <c r="AN323" s="30"/>
      <c r="AO323" s="30"/>
      <c r="AP323" s="30"/>
      <c r="AQ323" s="30"/>
    </row>
    <row r="324" spans="1:43" outlineLevel="1">
      <c r="A324" s="44"/>
      <c r="B324" s="37"/>
      <c r="C324" s="51" t="s">
        <v>205</v>
      </c>
      <c r="D324" s="41"/>
      <c r="E324" s="57">
        <v>0</v>
      </c>
      <c r="F324" s="43"/>
      <c r="G324" s="43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F324" s="30"/>
      <c r="AG324" s="30"/>
      <c r="AH324" s="30"/>
      <c r="AI324" s="30"/>
      <c r="AJ324" s="30"/>
      <c r="AK324" s="30"/>
      <c r="AL324" s="30"/>
      <c r="AM324" s="30"/>
      <c r="AN324" s="30"/>
      <c r="AO324" s="30"/>
      <c r="AP324" s="30"/>
      <c r="AQ324" s="30"/>
    </row>
    <row r="325" spans="1:43" outlineLevel="1">
      <c r="A325" s="44">
        <v>165</v>
      </c>
      <c r="B325" s="37" t="s">
        <v>206</v>
      </c>
      <c r="C325" s="49" t="s">
        <v>207</v>
      </c>
      <c r="D325" s="39" t="s">
        <v>60</v>
      </c>
      <c r="E325" s="55">
        <v>0</v>
      </c>
      <c r="F325" s="43"/>
      <c r="G325" s="43">
        <f>E325*F325</f>
        <v>0</v>
      </c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F325" s="30"/>
      <c r="AG325" s="30"/>
      <c r="AH325" s="30"/>
      <c r="AI325" s="30"/>
      <c r="AJ325" s="30"/>
      <c r="AK325" s="30"/>
      <c r="AL325" s="30"/>
      <c r="AM325" s="30"/>
      <c r="AN325" s="30"/>
      <c r="AO325" s="30"/>
      <c r="AP325" s="30"/>
      <c r="AQ325" s="30"/>
    </row>
    <row r="326" spans="1:43">
      <c r="A326" s="45" t="s">
        <v>49</v>
      </c>
      <c r="B326" s="38" t="s">
        <v>27</v>
      </c>
      <c r="C326" s="50" t="s">
        <v>28</v>
      </c>
      <c r="D326" s="40"/>
      <c r="E326" s="56"/>
      <c r="F326" s="330">
        <f>SUM(G327:G359)</f>
        <v>0</v>
      </c>
      <c r="G326" s="331"/>
    </row>
    <row r="327" spans="1:43" ht="22.5" outlineLevel="1">
      <c r="A327" s="44">
        <v>166</v>
      </c>
      <c r="B327" s="37" t="s">
        <v>208</v>
      </c>
      <c r="C327" s="49" t="s">
        <v>209</v>
      </c>
      <c r="D327" s="39" t="s">
        <v>57</v>
      </c>
      <c r="E327" s="55">
        <v>276.07</v>
      </c>
      <c r="F327" s="43"/>
      <c r="G327" s="43">
        <f>E327*F327</f>
        <v>0</v>
      </c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F327" s="30"/>
      <c r="AG327" s="30"/>
      <c r="AH327" s="30"/>
      <c r="AI327" s="30"/>
      <c r="AJ327" s="30"/>
      <c r="AK327" s="30"/>
      <c r="AL327" s="30"/>
      <c r="AM327" s="30"/>
      <c r="AN327" s="30"/>
      <c r="AO327" s="30"/>
      <c r="AP327" s="30"/>
      <c r="AQ327" s="30"/>
    </row>
    <row r="328" spans="1:43" outlineLevel="1">
      <c r="A328" s="44"/>
      <c r="B328" s="37"/>
      <c r="C328" s="51" t="s">
        <v>152</v>
      </c>
      <c r="D328" s="41"/>
      <c r="E328" s="57">
        <v>232.04</v>
      </c>
      <c r="F328" s="43"/>
      <c r="G328" s="43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F328" s="30"/>
      <c r="AG328" s="30"/>
      <c r="AH328" s="30"/>
      <c r="AI328" s="30"/>
      <c r="AJ328" s="30"/>
      <c r="AK328" s="30"/>
      <c r="AL328" s="30"/>
      <c r="AM328" s="30"/>
      <c r="AN328" s="30"/>
      <c r="AO328" s="30"/>
      <c r="AP328" s="30"/>
      <c r="AQ328" s="30"/>
    </row>
    <row r="329" spans="1:43" outlineLevel="1">
      <c r="A329" s="44"/>
      <c r="B329" s="37"/>
      <c r="C329" s="51" t="s">
        <v>157</v>
      </c>
      <c r="D329" s="41"/>
      <c r="E329" s="57">
        <v>18.47</v>
      </c>
      <c r="F329" s="43"/>
      <c r="G329" s="43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F329" s="30"/>
      <c r="AG329" s="30"/>
      <c r="AH329" s="30"/>
      <c r="AI329" s="30"/>
      <c r="AJ329" s="30"/>
      <c r="AK329" s="30"/>
      <c r="AL329" s="30"/>
      <c r="AM329" s="30"/>
      <c r="AN329" s="30"/>
      <c r="AO329" s="30"/>
      <c r="AP329" s="30"/>
      <c r="AQ329" s="30"/>
    </row>
    <row r="330" spans="1:43" outlineLevel="1">
      <c r="A330" s="44"/>
      <c r="B330" s="37"/>
      <c r="C330" s="51" t="s">
        <v>153</v>
      </c>
      <c r="D330" s="41"/>
      <c r="E330" s="57">
        <v>9.7899999999999991</v>
      </c>
      <c r="F330" s="43"/>
      <c r="G330" s="43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F330" s="30"/>
      <c r="AG330" s="30"/>
      <c r="AH330" s="30"/>
      <c r="AI330" s="30"/>
      <c r="AJ330" s="30"/>
      <c r="AK330" s="30"/>
      <c r="AL330" s="30"/>
      <c r="AM330" s="30"/>
      <c r="AN330" s="30"/>
      <c r="AO330" s="30"/>
      <c r="AP330" s="30"/>
      <c r="AQ330" s="30"/>
    </row>
    <row r="331" spans="1:43" outlineLevel="1">
      <c r="A331" s="44"/>
      <c r="B331" s="37"/>
      <c r="C331" s="51" t="s">
        <v>154</v>
      </c>
      <c r="D331" s="41"/>
      <c r="E331" s="57">
        <v>6.68</v>
      </c>
      <c r="F331" s="43"/>
      <c r="G331" s="43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F331" s="30"/>
      <c r="AG331" s="30"/>
      <c r="AH331" s="30"/>
      <c r="AI331" s="30"/>
      <c r="AJ331" s="30"/>
      <c r="AK331" s="30"/>
      <c r="AL331" s="30"/>
      <c r="AM331" s="30"/>
      <c r="AN331" s="30"/>
      <c r="AO331" s="30"/>
      <c r="AP331" s="30"/>
      <c r="AQ331" s="30"/>
    </row>
    <row r="332" spans="1:43" outlineLevel="1">
      <c r="A332" s="44"/>
      <c r="B332" s="37"/>
      <c r="C332" s="51" t="s">
        <v>156</v>
      </c>
      <c r="D332" s="41"/>
      <c r="E332" s="57">
        <v>9.09</v>
      </c>
      <c r="F332" s="43"/>
      <c r="G332" s="43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F332" s="30"/>
      <c r="AG332" s="30"/>
      <c r="AH332" s="30"/>
      <c r="AI332" s="30"/>
      <c r="AJ332" s="30"/>
      <c r="AK332" s="30"/>
      <c r="AL332" s="30"/>
      <c r="AM332" s="30"/>
      <c r="AN332" s="30"/>
      <c r="AO332" s="30"/>
      <c r="AP332" s="30"/>
      <c r="AQ332" s="30"/>
    </row>
    <row r="333" spans="1:43" outlineLevel="1">
      <c r="A333" s="44">
        <v>167</v>
      </c>
      <c r="B333" s="37" t="s">
        <v>210</v>
      </c>
      <c r="C333" s="49" t="s">
        <v>211</v>
      </c>
      <c r="D333" s="39" t="s">
        <v>57</v>
      </c>
      <c r="E333" s="55">
        <v>20</v>
      </c>
      <c r="F333" s="43"/>
      <c r="G333" s="43">
        <f>E333*F333</f>
        <v>0</v>
      </c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F333" s="30"/>
      <c r="AG333" s="30"/>
      <c r="AH333" s="30"/>
      <c r="AI333" s="30"/>
      <c r="AJ333" s="30"/>
      <c r="AK333" s="30"/>
      <c r="AL333" s="30"/>
      <c r="AM333" s="30"/>
      <c r="AN333" s="30"/>
      <c r="AO333" s="30"/>
      <c r="AP333" s="30"/>
      <c r="AQ333" s="30"/>
    </row>
    <row r="334" spans="1:43" ht="22.5" customHeight="1" outlineLevel="1">
      <c r="A334" s="44"/>
      <c r="B334" s="37"/>
      <c r="C334" s="326" t="s">
        <v>212</v>
      </c>
      <c r="D334" s="383"/>
      <c r="E334" s="383"/>
      <c r="F334" s="383"/>
      <c r="G334" s="384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F334" s="30"/>
      <c r="AG334" s="30"/>
      <c r="AH334" s="30"/>
      <c r="AI334" s="30"/>
      <c r="AJ334" s="36" t="str">
        <f>C334</f>
        <v>Očištění povrchu stěny od prachu, nařezání izolačních desek na požadovaný rozměr, nanesení lepicího tmelu, osazení desek.</v>
      </c>
      <c r="AK334" s="30"/>
      <c r="AL334" s="30"/>
      <c r="AM334" s="30"/>
      <c r="AN334" s="30"/>
      <c r="AO334" s="30"/>
      <c r="AP334" s="30"/>
      <c r="AQ334" s="30"/>
    </row>
    <row r="335" spans="1:43" outlineLevel="1">
      <c r="A335" s="44"/>
      <c r="B335" s="37"/>
      <c r="C335" s="51" t="s">
        <v>213</v>
      </c>
      <c r="D335" s="41"/>
      <c r="E335" s="57"/>
      <c r="F335" s="43"/>
      <c r="G335" s="43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F335" s="30"/>
      <c r="AG335" s="30"/>
      <c r="AH335" s="30"/>
      <c r="AI335" s="30"/>
      <c r="AJ335" s="30"/>
      <c r="AK335" s="30"/>
      <c r="AL335" s="30"/>
      <c r="AM335" s="30"/>
      <c r="AN335" s="30"/>
      <c r="AO335" s="30"/>
      <c r="AP335" s="30"/>
      <c r="AQ335" s="30"/>
    </row>
    <row r="336" spans="1:43" outlineLevel="1">
      <c r="A336" s="44"/>
      <c r="B336" s="37"/>
      <c r="C336" s="51" t="s">
        <v>214</v>
      </c>
      <c r="D336" s="41"/>
      <c r="E336" s="57">
        <v>20</v>
      </c>
      <c r="F336" s="43"/>
      <c r="G336" s="43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F336" s="30"/>
      <c r="AG336" s="30"/>
      <c r="AH336" s="30"/>
      <c r="AI336" s="30"/>
      <c r="AJ336" s="30"/>
      <c r="AK336" s="30"/>
      <c r="AL336" s="30"/>
      <c r="AM336" s="30"/>
      <c r="AN336" s="30"/>
      <c r="AO336" s="30"/>
      <c r="AP336" s="30"/>
      <c r="AQ336" s="30"/>
    </row>
    <row r="337" spans="1:43" outlineLevel="1">
      <c r="A337" s="44">
        <v>168</v>
      </c>
      <c r="B337" s="37" t="s">
        <v>215</v>
      </c>
      <c r="C337" s="49" t="s">
        <v>216</v>
      </c>
      <c r="D337" s="39" t="s">
        <v>57</v>
      </c>
      <c r="E337" s="55">
        <v>276.07</v>
      </c>
      <c r="F337" s="43"/>
      <c r="G337" s="43">
        <f>E337*F337</f>
        <v>0</v>
      </c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F337" s="30"/>
      <c r="AG337" s="30"/>
      <c r="AH337" s="30"/>
      <c r="AI337" s="30"/>
      <c r="AJ337" s="30"/>
      <c r="AK337" s="30"/>
      <c r="AL337" s="30"/>
      <c r="AM337" s="30"/>
      <c r="AN337" s="30"/>
      <c r="AO337" s="30"/>
      <c r="AP337" s="30"/>
      <c r="AQ337" s="30"/>
    </row>
    <row r="338" spans="1:43" outlineLevel="1">
      <c r="A338" s="44"/>
      <c r="B338" s="37"/>
      <c r="C338" s="51" t="s">
        <v>152</v>
      </c>
      <c r="D338" s="41"/>
      <c r="E338" s="57">
        <v>232.04</v>
      </c>
      <c r="F338" s="43"/>
      <c r="G338" s="43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F338" s="30"/>
      <c r="AG338" s="30"/>
      <c r="AH338" s="30"/>
      <c r="AI338" s="30"/>
      <c r="AJ338" s="30"/>
      <c r="AK338" s="30"/>
      <c r="AL338" s="30"/>
      <c r="AM338" s="30"/>
      <c r="AN338" s="30"/>
      <c r="AO338" s="30"/>
      <c r="AP338" s="30"/>
      <c r="AQ338" s="30"/>
    </row>
    <row r="339" spans="1:43" outlineLevel="1">
      <c r="A339" s="44"/>
      <c r="B339" s="37"/>
      <c r="C339" s="51" t="s">
        <v>157</v>
      </c>
      <c r="D339" s="41"/>
      <c r="E339" s="57">
        <v>18.47</v>
      </c>
      <c r="F339" s="43"/>
      <c r="G339" s="43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F339" s="30"/>
      <c r="AG339" s="30"/>
      <c r="AH339" s="30"/>
      <c r="AI339" s="30"/>
      <c r="AJ339" s="30"/>
      <c r="AK339" s="30"/>
      <c r="AL339" s="30"/>
      <c r="AM339" s="30"/>
      <c r="AN339" s="30"/>
      <c r="AO339" s="30"/>
      <c r="AP339" s="30"/>
      <c r="AQ339" s="30"/>
    </row>
    <row r="340" spans="1:43" outlineLevel="1">
      <c r="A340" s="44"/>
      <c r="B340" s="37"/>
      <c r="C340" s="51" t="s">
        <v>153</v>
      </c>
      <c r="D340" s="41"/>
      <c r="E340" s="57">
        <v>9.7899999999999991</v>
      </c>
      <c r="F340" s="43"/>
      <c r="G340" s="43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F340" s="30"/>
      <c r="AG340" s="30"/>
      <c r="AH340" s="30"/>
      <c r="AI340" s="30"/>
      <c r="AJ340" s="30"/>
      <c r="AK340" s="30"/>
      <c r="AL340" s="30"/>
      <c r="AM340" s="30"/>
      <c r="AN340" s="30"/>
      <c r="AO340" s="30"/>
      <c r="AP340" s="30"/>
      <c r="AQ340" s="30"/>
    </row>
    <row r="341" spans="1:43" outlineLevel="1">
      <c r="A341" s="44"/>
      <c r="B341" s="37"/>
      <c r="C341" s="51" t="s">
        <v>154</v>
      </c>
      <c r="D341" s="41"/>
      <c r="E341" s="57">
        <v>6.68</v>
      </c>
      <c r="F341" s="43"/>
      <c r="G341" s="43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F341" s="30"/>
      <c r="AG341" s="30"/>
      <c r="AH341" s="30"/>
      <c r="AI341" s="30"/>
      <c r="AJ341" s="30"/>
      <c r="AK341" s="30"/>
      <c r="AL341" s="30"/>
      <c r="AM341" s="30"/>
      <c r="AN341" s="30"/>
      <c r="AO341" s="30"/>
      <c r="AP341" s="30"/>
      <c r="AQ341" s="30"/>
    </row>
    <row r="342" spans="1:43" outlineLevel="1">
      <c r="A342" s="44"/>
      <c r="B342" s="37"/>
      <c r="C342" s="51" t="s">
        <v>156</v>
      </c>
      <c r="D342" s="41"/>
      <c r="E342" s="57">
        <v>9.09</v>
      </c>
      <c r="F342" s="43"/>
      <c r="G342" s="43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F342" s="30"/>
      <c r="AG342" s="30"/>
      <c r="AH342" s="30"/>
      <c r="AI342" s="30"/>
      <c r="AJ342" s="30"/>
      <c r="AK342" s="30"/>
      <c r="AL342" s="30"/>
      <c r="AM342" s="30"/>
      <c r="AN342" s="30"/>
      <c r="AO342" s="30"/>
      <c r="AP342" s="30"/>
      <c r="AQ342" s="30"/>
    </row>
    <row r="343" spans="1:43" ht="22.5" outlineLevel="1">
      <c r="A343" s="44">
        <v>169</v>
      </c>
      <c r="B343" s="37" t="s">
        <v>217</v>
      </c>
      <c r="C343" s="49" t="s">
        <v>218</v>
      </c>
      <c r="D343" s="39" t="s">
        <v>62</v>
      </c>
      <c r="E343" s="55">
        <v>247.99700000000001</v>
      </c>
      <c r="F343" s="43"/>
      <c r="G343" s="43">
        <f>E343*F343</f>
        <v>0</v>
      </c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F343" s="30"/>
      <c r="AG343" s="30"/>
      <c r="AH343" s="30"/>
      <c r="AI343" s="30"/>
      <c r="AJ343" s="30"/>
      <c r="AK343" s="30"/>
      <c r="AL343" s="30"/>
      <c r="AM343" s="30"/>
      <c r="AN343" s="30"/>
      <c r="AO343" s="30"/>
      <c r="AP343" s="30"/>
      <c r="AQ343" s="30"/>
    </row>
    <row r="344" spans="1:43" outlineLevel="1">
      <c r="A344" s="44"/>
      <c r="B344" s="37"/>
      <c r="C344" s="51" t="s">
        <v>219</v>
      </c>
      <c r="D344" s="41"/>
      <c r="E344" s="57">
        <v>188.8</v>
      </c>
      <c r="F344" s="43"/>
      <c r="G344" s="43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F344" s="30"/>
      <c r="AG344" s="30"/>
      <c r="AH344" s="30"/>
      <c r="AI344" s="30"/>
      <c r="AJ344" s="30"/>
      <c r="AK344" s="30"/>
      <c r="AL344" s="30"/>
      <c r="AM344" s="30"/>
      <c r="AN344" s="30"/>
      <c r="AO344" s="30"/>
      <c r="AP344" s="30"/>
      <c r="AQ344" s="30"/>
    </row>
    <row r="345" spans="1:43" outlineLevel="1">
      <c r="A345" s="44"/>
      <c r="B345" s="37"/>
      <c r="C345" s="51" t="s">
        <v>220</v>
      </c>
      <c r="D345" s="41"/>
      <c r="E345" s="57">
        <v>20.317</v>
      </c>
      <c r="F345" s="43"/>
      <c r="G345" s="43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F345" s="30"/>
      <c r="AG345" s="30"/>
      <c r="AH345" s="30"/>
      <c r="AI345" s="30"/>
      <c r="AJ345" s="30"/>
      <c r="AK345" s="30"/>
      <c r="AL345" s="30"/>
      <c r="AM345" s="30"/>
      <c r="AN345" s="30"/>
      <c r="AO345" s="30"/>
      <c r="AP345" s="30"/>
      <c r="AQ345" s="30"/>
    </row>
    <row r="346" spans="1:43" outlineLevel="1">
      <c r="A346" s="44"/>
      <c r="B346" s="37"/>
      <c r="C346" s="51" t="s">
        <v>221</v>
      </c>
      <c r="D346" s="41"/>
      <c r="E346" s="57">
        <v>17.622</v>
      </c>
      <c r="F346" s="43"/>
      <c r="G346" s="43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F346" s="30"/>
      <c r="AG346" s="30"/>
      <c r="AH346" s="30"/>
      <c r="AI346" s="30"/>
      <c r="AJ346" s="30"/>
      <c r="AK346" s="30"/>
      <c r="AL346" s="30"/>
      <c r="AM346" s="30"/>
      <c r="AN346" s="30"/>
      <c r="AO346" s="30"/>
      <c r="AP346" s="30"/>
      <c r="AQ346" s="30"/>
    </row>
    <row r="347" spans="1:43" outlineLevel="1">
      <c r="A347" s="44"/>
      <c r="B347" s="37"/>
      <c r="C347" s="51" t="s">
        <v>222</v>
      </c>
      <c r="D347" s="41"/>
      <c r="E347" s="57">
        <v>12.023999999999999</v>
      </c>
      <c r="F347" s="43"/>
      <c r="G347" s="43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F347" s="30"/>
      <c r="AG347" s="30"/>
      <c r="AH347" s="30"/>
      <c r="AI347" s="30"/>
      <c r="AJ347" s="30"/>
      <c r="AK347" s="30"/>
      <c r="AL347" s="30"/>
      <c r="AM347" s="30"/>
      <c r="AN347" s="30"/>
      <c r="AO347" s="30"/>
      <c r="AP347" s="30"/>
      <c r="AQ347" s="30"/>
    </row>
    <row r="348" spans="1:43" outlineLevel="1">
      <c r="A348" s="44"/>
      <c r="B348" s="37"/>
      <c r="C348" s="51" t="s">
        <v>223</v>
      </c>
      <c r="D348" s="41"/>
      <c r="E348" s="57">
        <v>9.234</v>
      </c>
      <c r="F348" s="43"/>
      <c r="G348" s="43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F348" s="30"/>
      <c r="AG348" s="30"/>
      <c r="AH348" s="30"/>
      <c r="AI348" s="30"/>
      <c r="AJ348" s="30"/>
      <c r="AK348" s="30"/>
      <c r="AL348" s="30"/>
      <c r="AM348" s="30"/>
      <c r="AN348" s="30"/>
      <c r="AO348" s="30"/>
      <c r="AP348" s="30"/>
      <c r="AQ348" s="30"/>
    </row>
    <row r="349" spans="1:43" outlineLevel="1">
      <c r="A349" s="44">
        <v>170</v>
      </c>
      <c r="B349" s="37" t="s">
        <v>224</v>
      </c>
      <c r="C349" s="49" t="s">
        <v>225</v>
      </c>
      <c r="D349" s="39" t="s">
        <v>57</v>
      </c>
      <c r="E349" s="55">
        <v>7.0140000000000002</v>
      </c>
      <c r="F349" s="43"/>
      <c r="G349" s="43">
        <f>E349*F349</f>
        <v>0</v>
      </c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F349" s="30"/>
      <c r="AG349" s="30"/>
      <c r="AH349" s="30"/>
      <c r="AI349" s="30"/>
      <c r="AJ349" s="30"/>
      <c r="AK349" s="30"/>
      <c r="AL349" s="30"/>
      <c r="AM349" s="30"/>
      <c r="AN349" s="30"/>
      <c r="AO349" s="30"/>
      <c r="AP349" s="30"/>
      <c r="AQ349" s="30"/>
    </row>
    <row r="350" spans="1:43" outlineLevel="1">
      <c r="A350" s="44"/>
      <c r="B350" s="37"/>
      <c r="C350" s="51" t="s">
        <v>226</v>
      </c>
      <c r="D350" s="41"/>
      <c r="E350" s="57">
        <v>7.0140000000000002</v>
      </c>
      <c r="F350" s="43"/>
      <c r="G350" s="43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F350" s="30"/>
      <c r="AG350" s="30"/>
      <c r="AH350" s="30"/>
      <c r="AI350" s="30"/>
      <c r="AJ350" s="30"/>
      <c r="AK350" s="30"/>
      <c r="AL350" s="30"/>
      <c r="AM350" s="30"/>
      <c r="AN350" s="30"/>
      <c r="AO350" s="30"/>
      <c r="AP350" s="30"/>
      <c r="AQ350" s="30"/>
    </row>
    <row r="351" spans="1:43" outlineLevel="1">
      <c r="A351" s="44">
        <v>171</v>
      </c>
      <c r="B351" s="37" t="s">
        <v>227</v>
      </c>
      <c r="C351" s="49" t="s">
        <v>228</v>
      </c>
      <c r="D351" s="39" t="s">
        <v>57</v>
      </c>
      <c r="E351" s="55">
        <v>282.85950000000003</v>
      </c>
      <c r="F351" s="43"/>
      <c r="G351" s="43">
        <f>E351*F351</f>
        <v>0</v>
      </c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F351" s="30"/>
      <c r="AG351" s="30"/>
      <c r="AH351" s="30"/>
      <c r="AI351" s="30"/>
      <c r="AJ351" s="30"/>
      <c r="AK351" s="30"/>
      <c r="AL351" s="30"/>
      <c r="AM351" s="30"/>
      <c r="AN351" s="30"/>
      <c r="AO351" s="30"/>
      <c r="AP351" s="30"/>
      <c r="AQ351" s="30"/>
    </row>
    <row r="352" spans="1:43" outlineLevel="1">
      <c r="A352" s="44"/>
      <c r="B352" s="37"/>
      <c r="C352" s="51" t="s">
        <v>229</v>
      </c>
      <c r="D352" s="41"/>
      <c r="E352" s="57">
        <v>243.642</v>
      </c>
      <c r="F352" s="43"/>
      <c r="G352" s="43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F352" s="30"/>
      <c r="AG352" s="30"/>
      <c r="AH352" s="30"/>
      <c r="AI352" s="30"/>
      <c r="AJ352" s="30"/>
      <c r="AK352" s="30"/>
      <c r="AL352" s="30"/>
      <c r="AM352" s="30"/>
      <c r="AN352" s="30"/>
      <c r="AO352" s="30"/>
      <c r="AP352" s="30"/>
      <c r="AQ352" s="30"/>
    </row>
    <row r="353" spans="1:43" outlineLevel="1">
      <c r="A353" s="44"/>
      <c r="B353" s="37"/>
      <c r="C353" s="51" t="s">
        <v>230</v>
      </c>
      <c r="D353" s="41"/>
      <c r="E353" s="57">
        <v>19.3935</v>
      </c>
      <c r="F353" s="43"/>
      <c r="G353" s="43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F353" s="30"/>
      <c r="AG353" s="30"/>
      <c r="AH353" s="30"/>
      <c r="AI353" s="30"/>
      <c r="AJ353" s="30"/>
      <c r="AK353" s="30"/>
      <c r="AL353" s="30"/>
      <c r="AM353" s="30"/>
      <c r="AN353" s="30"/>
      <c r="AO353" s="30"/>
      <c r="AP353" s="30"/>
      <c r="AQ353" s="30"/>
    </row>
    <row r="354" spans="1:43" outlineLevel="1">
      <c r="A354" s="44"/>
      <c r="B354" s="37"/>
      <c r="C354" s="51" t="s">
        <v>231</v>
      </c>
      <c r="D354" s="41"/>
      <c r="E354" s="57">
        <v>10.279500000000001</v>
      </c>
      <c r="F354" s="43"/>
      <c r="G354" s="43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F354" s="30"/>
      <c r="AG354" s="30"/>
      <c r="AH354" s="30"/>
      <c r="AI354" s="30"/>
      <c r="AJ354" s="30"/>
      <c r="AK354" s="30"/>
      <c r="AL354" s="30"/>
      <c r="AM354" s="30"/>
      <c r="AN354" s="30"/>
      <c r="AO354" s="30"/>
      <c r="AP354" s="30"/>
      <c r="AQ354" s="30"/>
    </row>
    <row r="355" spans="1:43" outlineLevel="1">
      <c r="A355" s="44"/>
      <c r="B355" s="37"/>
      <c r="C355" s="51" t="s">
        <v>232</v>
      </c>
      <c r="D355" s="41"/>
      <c r="E355" s="57">
        <v>9.5444999999999993</v>
      </c>
      <c r="F355" s="43"/>
      <c r="G355" s="43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F355" s="30"/>
      <c r="AG355" s="30"/>
      <c r="AH355" s="30"/>
      <c r="AI355" s="30"/>
      <c r="AJ355" s="30"/>
      <c r="AK355" s="30"/>
      <c r="AL355" s="30"/>
      <c r="AM355" s="30"/>
      <c r="AN355" s="30"/>
      <c r="AO355" s="30"/>
      <c r="AP355" s="30"/>
      <c r="AQ355" s="30"/>
    </row>
    <row r="356" spans="1:43" ht="22.5" outlineLevel="1">
      <c r="A356" s="44">
        <v>172</v>
      </c>
      <c r="B356" s="37" t="s">
        <v>233</v>
      </c>
      <c r="C356" s="49" t="s">
        <v>234</v>
      </c>
      <c r="D356" s="39" t="s">
        <v>57</v>
      </c>
      <c r="E356" s="55">
        <v>21</v>
      </c>
      <c r="F356" s="43"/>
      <c r="G356" s="43">
        <f>E356*F356</f>
        <v>0</v>
      </c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F356" s="30"/>
      <c r="AG356" s="30"/>
      <c r="AH356" s="30"/>
      <c r="AI356" s="30"/>
      <c r="AJ356" s="30"/>
      <c r="AK356" s="30"/>
      <c r="AL356" s="30"/>
      <c r="AM356" s="30"/>
      <c r="AN356" s="30"/>
      <c r="AO356" s="30"/>
      <c r="AP356" s="30"/>
      <c r="AQ356" s="30"/>
    </row>
    <row r="357" spans="1:43" outlineLevel="1">
      <c r="A357" s="44"/>
      <c r="B357" s="37"/>
      <c r="C357" s="51" t="s">
        <v>213</v>
      </c>
      <c r="D357" s="41"/>
      <c r="E357" s="57"/>
      <c r="F357" s="43"/>
      <c r="G357" s="43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F357" s="30"/>
      <c r="AG357" s="30"/>
      <c r="AH357" s="30"/>
      <c r="AI357" s="30"/>
      <c r="AJ357" s="30"/>
      <c r="AK357" s="30"/>
      <c r="AL357" s="30"/>
      <c r="AM357" s="30"/>
      <c r="AN357" s="30"/>
      <c r="AO357" s="30"/>
      <c r="AP357" s="30"/>
      <c r="AQ357" s="30"/>
    </row>
    <row r="358" spans="1:43" outlineLevel="1">
      <c r="A358" s="44"/>
      <c r="B358" s="37"/>
      <c r="C358" s="51" t="s">
        <v>235</v>
      </c>
      <c r="D358" s="41"/>
      <c r="E358" s="57">
        <v>21</v>
      </c>
      <c r="F358" s="43"/>
      <c r="G358" s="43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F358" s="30"/>
      <c r="AG358" s="30"/>
      <c r="AH358" s="30"/>
      <c r="AI358" s="30"/>
      <c r="AJ358" s="30"/>
      <c r="AK358" s="30"/>
      <c r="AL358" s="30"/>
      <c r="AM358" s="30"/>
      <c r="AN358" s="30"/>
      <c r="AO358" s="30"/>
      <c r="AP358" s="30"/>
      <c r="AQ358" s="30"/>
    </row>
    <row r="359" spans="1:43" outlineLevel="1">
      <c r="A359" s="44">
        <v>173</v>
      </c>
      <c r="B359" s="37" t="s">
        <v>236</v>
      </c>
      <c r="C359" s="49" t="s">
        <v>237</v>
      </c>
      <c r="D359" s="39" t="s">
        <v>60</v>
      </c>
      <c r="E359" s="55">
        <v>6.3050800000000002</v>
      </c>
      <c r="F359" s="43"/>
      <c r="G359" s="43">
        <f>E359*F359</f>
        <v>0</v>
      </c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F359" s="30"/>
      <c r="AG359" s="30"/>
      <c r="AH359" s="30"/>
      <c r="AI359" s="30"/>
      <c r="AJ359" s="30"/>
      <c r="AK359" s="30"/>
      <c r="AL359" s="30"/>
      <c r="AM359" s="30"/>
      <c r="AN359" s="30"/>
      <c r="AO359" s="30"/>
      <c r="AP359" s="30"/>
      <c r="AQ359" s="30"/>
    </row>
    <row r="360" spans="1:43">
      <c r="A360" s="45" t="s">
        <v>49</v>
      </c>
      <c r="B360" s="38" t="s">
        <v>29</v>
      </c>
      <c r="C360" s="50" t="s">
        <v>30</v>
      </c>
      <c r="D360" s="40"/>
      <c r="E360" s="56"/>
      <c r="F360" s="330">
        <f>SUM(G361:G392)</f>
        <v>0</v>
      </c>
      <c r="G360" s="331"/>
    </row>
    <row r="361" spans="1:43" outlineLevel="1">
      <c r="A361" s="44">
        <v>209</v>
      </c>
      <c r="B361" s="37" t="s">
        <v>245</v>
      </c>
      <c r="C361" s="49" t="s">
        <v>246</v>
      </c>
      <c r="D361" s="39" t="s">
        <v>52</v>
      </c>
      <c r="E361" s="55">
        <v>0</v>
      </c>
      <c r="F361" s="43"/>
      <c r="G361" s="43">
        <f>E361*F361</f>
        <v>0</v>
      </c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F361" s="30"/>
      <c r="AG361" s="30"/>
      <c r="AH361" s="30"/>
      <c r="AI361" s="30"/>
      <c r="AJ361" s="30"/>
      <c r="AK361" s="30"/>
      <c r="AL361" s="30"/>
      <c r="AM361" s="30"/>
      <c r="AN361" s="30"/>
      <c r="AO361" s="30"/>
      <c r="AP361" s="30"/>
      <c r="AQ361" s="30"/>
    </row>
    <row r="362" spans="1:43" outlineLevel="1">
      <c r="A362" s="44">
        <v>210</v>
      </c>
      <c r="B362" s="37" t="s">
        <v>247</v>
      </c>
      <c r="C362" s="49" t="s">
        <v>248</v>
      </c>
      <c r="D362" s="39" t="s">
        <v>52</v>
      </c>
      <c r="E362" s="55">
        <v>8</v>
      </c>
      <c r="F362" s="43"/>
      <c r="G362" s="43">
        <f>E362*F362</f>
        <v>0</v>
      </c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F362" s="30"/>
      <c r="AG362" s="30"/>
      <c r="AH362" s="30"/>
      <c r="AI362" s="30"/>
      <c r="AJ362" s="30"/>
      <c r="AK362" s="30"/>
      <c r="AL362" s="30"/>
      <c r="AM362" s="30"/>
      <c r="AN362" s="30"/>
      <c r="AO362" s="30"/>
      <c r="AP362" s="30"/>
      <c r="AQ362" s="30"/>
    </row>
    <row r="363" spans="1:43" outlineLevel="1">
      <c r="A363" s="44"/>
      <c r="B363" s="37"/>
      <c r="C363" s="51" t="s">
        <v>249</v>
      </c>
      <c r="D363" s="41"/>
      <c r="E363" s="57">
        <v>8</v>
      </c>
      <c r="F363" s="43"/>
      <c r="G363" s="43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F363" s="30"/>
      <c r="AG363" s="30"/>
      <c r="AH363" s="30"/>
      <c r="AI363" s="30"/>
      <c r="AJ363" s="30"/>
      <c r="AK363" s="30"/>
      <c r="AL363" s="30"/>
      <c r="AM363" s="30"/>
      <c r="AN363" s="30"/>
      <c r="AO363" s="30"/>
      <c r="AP363" s="30"/>
      <c r="AQ363" s="30"/>
    </row>
    <row r="364" spans="1:43" outlineLevel="1">
      <c r="A364" s="44">
        <v>211</v>
      </c>
      <c r="B364" s="37" t="s">
        <v>250</v>
      </c>
      <c r="C364" s="49" t="s">
        <v>251</v>
      </c>
      <c r="D364" s="39" t="s">
        <v>52</v>
      </c>
      <c r="E364" s="55">
        <v>2</v>
      </c>
      <c r="F364" s="43"/>
      <c r="G364" s="43">
        <f>E364*F364</f>
        <v>0</v>
      </c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F364" s="30"/>
      <c r="AG364" s="30"/>
      <c r="AH364" s="30"/>
      <c r="AI364" s="30"/>
      <c r="AJ364" s="30"/>
      <c r="AK364" s="30"/>
      <c r="AL364" s="30"/>
      <c r="AM364" s="30"/>
      <c r="AN364" s="30"/>
      <c r="AO364" s="30"/>
      <c r="AP364" s="30"/>
      <c r="AQ364" s="30"/>
    </row>
    <row r="365" spans="1:43" outlineLevel="1">
      <c r="A365" s="44"/>
      <c r="B365" s="37"/>
      <c r="C365" s="51" t="s">
        <v>252</v>
      </c>
      <c r="D365" s="41"/>
      <c r="E365" s="57">
        <v>2</v>
      </c>
      <c r="F365" s="43"/>
      <c r="G365" s="43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F365" s="30"/>
      <c r="AG365" s="30"/>
      <c r="AH365" s="30"/>
      <c r="AI365" s="30"/>
      <c r="AJ365" s="30"/>
      <c r="AK365" s="30"/>
      <c r="AL365" s="30"/>
      <c r="AM365" s="30"/>
      <c r="AN365" s="30"/>
      <c r="AO365" s="30"/>
      <c r="AP365" s="30"/>
      <c r="AQ365" s="30"/>
    </row>
    <row r="366" spans="1:43" outlineLevel="1">
      <c r="A366" s="44">
        <v>212</v>
      </c>
      <c r="B366" s="37" t="s">
        <v>253</v>
      </c>
      <c r="C366" s="49" t="s">
        <v>254</v>
      </c>
      <c r="D366" s="39" t="s">
        <v>52</v>
      </c>
      <c r="E366" s="55">
        <v>1</v>
      </c>
      <c r="F366" s="43"/>
      <c r="G366" s="43">
        <f>E366*F366</f>
        <v>0</v>
      </c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F366" s="30"/>
      <c r="AG366" s="30"/>
      <c r="AH366" s="30"/>
      <c r="AI366" s="30"/>
      <c r="AJ366" s="30"/>
      <c r="AK366" s="30"/>
      <c r="AL366" s="30"/>
      <c r="AM366" s="30"/>
      <c r="AN366" s="30"/>
      <c r="AO366" s="30"/>
      <c r="AP366" s="30"/>
      <c r="AQ366" s="30"/>
    </row>
    <row r="367" spans="1:43" outlineLevel="1">
      <c r="A367" s="44">
        <v>213</v>
      </c>
      <c r="B367" s="37" t="s">
        <v>255</v>
      </c>
      <c r="C367" s="49" t="s">
        <v>256</v>
      </c>
      <c r="D367" s="39" t="s">
        <v>52</v>
      </c>
      <c r="E367" s="55">
        <v>10</v>
      </c>
      <c r="F367" s="43"/>
      <c r="G367" s="43">
        <f>E367*F367</f>
        <v>0</v>
      </c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F367" s="30"/>
      <c r="AG367" s="30"/>
      <c r="AH367" s="30"/>
      <c r="AI367" s="30"/>
      <c r="AJ367" s="30"/>
      <c r="AK367" s="30"/>
      <c r="AL367" s="30"/>
      <c r="AM367" s="30"/>
      <c r="AN367" s="30"/>
      <c r="AO367" s="30"/>
      <c r="AP367" s="30"/>
      <c r="AQ367" s="30"/>
    </row>
    <row r="368" spans="1:43" outlineLevel="1">
      <c r="A368" s="44"/>
      <c r="B368" s="37"/>
      <c r="C368" s="51" t="s">
        <v>257</v>
      </c>
      <c r="D368" s="41"/>
      <c r="E368" s="57">
        <v>10</v>
      </c>
      <c r="F368" s="43"/>
      <c r="G368" s="43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F368" s="30"/>
      <c r="AG368" s="30"/>
      <c r="AH368" s="30"/>
      <c r="AI368" s="30"/>
      <c r="AJ368" s="30"/>
      <c r="AK368" s="30"/>
      <c r="AL368" s="30"/>
      <c r="AM368" s="30"/>
      <c r="AN368" s="30"/>
      <c r="AO368" s="30"/>
      <c r="AP368" s="30"/>
      <c r="AQ368" s="30"/>
    </row>
    <row r="369" spans="1:43" ht="33.75" outlineLevel="1">
      <c r="A369" s="44">
        <v>214</v>
      </c>
      <c r="B369" s="37" t="s">
        <v>258</v>
      </c>
      <c r="C369" s="49" t="s">
        <v>259</v>
      </c>
      <c r="D369" s="39" t="s">
        <v>158</v>
      </c>
      <c r="E369" s="55">
        <v>6</v>
      </c>
      <c r="F369" s="43"/>
      <c r="G369" s="43">
        <f>E369*F369</f>
        <v>0</v>
      </c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F369" s="30"/>
      <c r="AG369" s="30"/>
      <c r="AH369" s="30"/>
      <c r="AI369" s="30"/>
      <c r="AJ369" s="30"/>
      <c r="AK369" s="30"/>
      <c r="AL369" s="30"/>
      <c r="AM369" s="30"/>
      <c r="AN369" s="30"/>
      <c r="AO369" s="30"/>
      <c r="AP369" s="30"/>
      <c r="AQ369" s="30"/>
    </row>
    <row r="370" spans="1:43" ht="33.75" customHeight="1" outlineLevel="1">
      <c r="A370" s="44"/>
      <c r="B370" s="37"/>
      <c r="C370" s="326" t="s">
        <v>260</v>
      </c>
      <c r="D370" s="383"/>
      <c r="E370" s="383"/>
      <c r="F370" s="383"/>
      <c r="G370" s="384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F370" s="30"/>
      <c r="AG370" s="30"/>
      <c r="AH370" s="30"/>
      <c r="AI370" s="30"/>
      <c r="AJ370" s="36" t="str">
        <f>C370</f>
        <v>kde je uveden podrobný popis výrobku, dveře naceněny komplet včetně kování - druh kování viz popis k výrobku.Dveře jsou uvažovány lehčená DTD bez dutin a voštin.U požár.odol.veří cena včetně samozavírače - pokud je uveden.</v>
      </c>
      <c r="AK370" s="30"/>
      <c r="AL370" s="30"/>
      <c r="AM370" s="30"/>
      <c r="AN370" s="30"/>
      <c r="AO370" s="30"/>
      <c r="AP370" s="30"/>
      <c r="AQ370" s="30"/>
    </row>
    <row r="371" spans="1:43" ht="22.5" customHeight="1" outlineLevel="1">
      <c r="A371" s="44"/>
      <c r="B371" s="37"/>
      <c r="C371" s="326" t="s">
        <v>261</v>
      </c>
      <c r="D371" s="383"/>
      <c r="E371" s="383"/>
      <c r="F371" s="383"/>
      <c r="G371" s="384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F371" s="30"/>
      <c r="AG371" s="30"/>
      <c r="AH371" s="30"/>
      <c r="AI371" s="30"/>
      <c r="AJ371" s="36" t="str">
        <f>C371</f>
        <v>Včetně všech úprav uvedených v popisu ( zkrácení,systém gen.klíče apod )a povrch.úpravy vysokotlakým laminátem.</v>
      </c>
      <c r="AK371" s="30"/>
      <c r="AL371" s="30"/>
      <c r="AM371" s="30"/>
      <c r="AN371" s="30"/>
      <c r="AO371" s="30"/>
      <c r="AP371" s="30"/>
      <c r="AQ371" s="30"/>
    </row>
    <row r="372" spans="1:43" outlineLevel="1">
      <c r="A372" s="44">
        <v>215</v>
      </c>
      <c r="B372" s="37" t="s">
        <v>262</v>
      </c>
      <c r="C372" s="49" t="s">
        <v>263</v>
      </c>
      <c r="D372" s="39" t="s">
        <v>158</v>
      </c>
      <c r="E372" s="55">
        <v>1</v>
      </c>
      <c r="F372" s="43"/>
      <c r="G372" s="43">
        <f t="shared" ref="G372:G388" si="0">E372*F372</f>
        <v>0</v>
      </c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F372" s="30"/>
      <c r="AG372" s="30"/>
      <c r="AH372" s="30"/>
      <c r="AI372" s="30"/>
      <c r="AJ372" s="30"/>
      <c r="AK372" s="30"/>
      <c r="AL372" s="30"/>
      <c r="AM372" s="30"/>
      <c r="AN372" s="30"/>
      <c r="AO372" s="30"/>
      <c r="AP372" s="30"/>
      <c r="AQ372" s="30"/>
    </row>
    <row r="373" spans="1:43" outlineLevel="1">
      <c r="A373" s="44">
        <v>216</v>
      </c>
      <c r="B373" s="37" t="s">
        <v>264</v>
      </c>
      <c r="C373" s="49" t="s">
        <v>265</v>
      </c>
      <c r="D373" s="39" t="s">
        <v>158</v>
      </c>
      <c r="E373" s="55">
        <v>2</v>
      </c>
      <c r="F373" s="43"/>
      <c r="G373" s="43">
        <f t="shared" si="0"/>
        <v>0</v>
      </c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F373" s="30"/>
      <c r="AG373" s="30"/>
      <c r="AH373" s="30"/>
      <c r="AI373" s="30"/>
      <c r="AJ373" s="30"/>
      <c r="AK373" s="30"/>
      <c r="AL373" s="30"/>
      <c r="AM373" s="30"/>
      <c r="AN373" s="30"/>
      <c r="AO373" s="30"/>
      <c r="AP373" s="30"/>
      <c r="AQ373" s="30"/>
    </row>
    <row r="374" spans="1:43" ht="22.5" outlineLevel="1">
      <c r="A374" s="44">
        <v>217</v>
      </c>
      <c r="B374" s="37" t="s">
        <v>266</v>
      </c>
      <c r="C374" s="49" t="s">
        <v>267</v>
      </c>
      <c r="D374" s="39" t="s">
        <v>158</v>
      </c>
      <c r="E374" s="55">
        <v>1</v>
      </c>
      <c r="F374" s="43"/>
      <c r="G374" s="43">
        <f t="shared" si="0"/>
        <v>0</v>
      </c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F374" s="30"/>
      <c r="AG374" s="30"/>
      <c r="AH374" s="30"/>
      <c r="AI374" s="30"/>
      <c r="AJ374" s="30"/>
      <c r="AK374" s="30"/>
      <c r="AL374" s="30"/>
      <c r="AM374" s="30"/>
      <c r="AN374" s="30"/>
      <c r="AO374" s="30"/>
      <c r="AP374" s="30"/>
      <c r="AQ374" s="30"/>
    </row>
    <row r="375" spans="1:43" outlineLevel="1">
      <c r="A375" s="44">
        <v>218</v>
      </c>
      <c r="B375" s="37" t="s">
        <v>268</v>
      </c>
      <c r="C375" s="49" t="s">
        <v>269</v>
      </c>
      <c r="D375" s="39" t="s">
        <v>158</v>
      </c>
      <c r="E375" s="55">
        <v>1</v>
      </c>
      <c r="F375" s="43"/>
      <c r="G375" s="43">
        <f t="shared" si="0"/>
        <v>0</v>
      </c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F375" s="30"/>
      <c r="AG375" s="30"/>
      <c r="AH375" s="30"/>
      <c r="AI375" s="30"/>
      <c r="AJ375" s="30"/>
      <c r="AK375" s="30"/>
      <c r="AL375" s="30"/>
      <c r="AM375" s="30"/>
      <c r="AN375" s="30"/>
      <c r="AO375" s="30"/>
      <c r="AP375" s="30"/>
      <c r="AQ375" s="30"/>
    </row>
    <row r="376" spans="1:43" outlineLevel="1">
      <c r="A376" s="44">
        <v>219</v>
      </c>
      <c r="B376" s="37" t="s">
        <v>270</v>
      </c>
      <c r="C376" s="49" t="s">
        <v>271</v>
      </c>
      <c r="D376" s="39" t="s">
        <v>158</v>
      </c>
      <c r="E376" s="55">
        <v>1</v>
      </c>
      <c r="F376" s="43"/>
      <c r="G376" s="43">
        <f t="shared" si="0"/>
        <v>0</v>
      </c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F376" s="30"/>
      <c r="AG376" s="30"/>
      <c r="AH376" s="30"/>
      <c r="AI376" s="30"/>
      <c r="AJ376" s="30"/>
      <c r="AK376" s="30"/>
      <c r="AL376" s="30"/>
      <c r="AM376" s="30"/>
      <c r="AN376" s="30"/>
      <c r="AO376" s="30"/>
      <c r="AP376" s="30"/>
      <c r="AQ376" s="30"/>
    </row>
    <row r="377" spans="1:43" outlineLevel="1">
      <c r="A377" s="44">
        <v>220</v>
      </c>
      <c r="B377" s="37" t="s">
        <v>272</v>
      </c>
      <c r="C377" s="49" t="s">
        <v>273</v>
      </c>
      <c r="D377" s="39" t="s">
        <v>158</v>
      </c>
      <c r="E377" s="55">
        <v>0</v>
      </c>
      <c r="F377" s="43"/>
      <c r="G377" s="43">
        <f t="shared" si="0"/>
        <v>0</v>
      </c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F377" s="30"/>
      <c r="AG377" s="30"/>
      <c r="AH377" s="30"/>
      <c r="AI377" s="30"/>
      <c r="AJ377" s="30"/>
      <c r="AK377" s="30"/>
      <c r="AL377" s="30"/>
      <c r="AM377" s="30"/>
      <c r="AN377" s="30"/>
      <c r="AO377" s="30"/>
      <c r="AP377" s="30"/>
      <c r="AQ377" s="30"/>
    </row>
    <row r="378" spans="1:43" outlineLevel="1">
      <c r="A378" s="44">
        <v>221</v>
      </c>
      <c r="B378" s="37" t="s">
        <v>274</v>
      </c>
      <c r="C378" s="49" t="s">
        <v>275</v>
      </c>
      <c r="D378" s="39" t="s">
        <v>158</v>
      </c>
      <c r="E378" s="55">
        <v>2</v>
      </c>
      <c r="F378" s="43"/>
      <c r="G378" s="43">
        <f t="shared" si="0"/>
        <v>0</v>
      </c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F378" s="30"/>
      <c r="AG378" s="30"/>
      <c r="AH378" s="30"/>
      <c r="AI378" s="30"/>
      <c r="AJ378" s="30"/>
      <c r="AK378" s="30"/>
      <c r="AL378" s="30"/>
      <c r="AM378" s="30"/>
      <c r="AN378" s="30"/>
      <c r="AO378" s="30"/>
      <c r="AP378" s="30"/>
      <c r="AQ378" s="30"/>
    </row>
    <row r="379" spans="1:43" outlineLevel="1">
      <c r="A379" s="44">
        <v>222</v>
      </c>
      <c r="B379" s="37" t="s">
        <v>276</v>
      </c>
      <c r="C379" s="49" t="s">
        <v>277</v>
      </c>
      <c r="D379" s="39" t="s">
        <v>158</v>
      </c>
      <c r="E379" s="55">
        <v>0</v>
      </c>
      <c r="F379" s="43"/>
      <c r="G379" s="43">
        <f t="shared" si="0"/>
        <v>0</v>
      </c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F379" s="30"/>
      <c r="AG379" s="30"/>
      <c r="AH379" s="30"/>
      <c r="AI379" s="30"/>
      <c r="AJ379" s="30"/>
      <c r="AK379" s="30"/>
      <c r="AL379" s="30"/>
      <c r="AM379" s="30"/>
      <c r="AN379" s="30"/>
      <c r="AO379" s="30"/>
      <c r="AP379" s="30"/>
      <c r="AQ379" s="30"/>
    </row>
    <row r="380" spans="1:43" ht="33.75" outlineLevel="1">
      <c r="A380" s="44">
        <v>223</v>
      </c>
      <c r="B380" s="37" t="s">
        <v>278</v>
      </c>
      <c r="C380" s="49" t="s">
        <v>279</v>
      </c>
      <c r="D380" s="39" t="s">
        <v>158</v>
      </c>
      <c r="E380" s="55">
        <v>1</v>
      </c>
      <c r="F380" s="43"/>
      <c r="G380" s="43">
        <f t="shared" si="0"/>
        <v>0</v>
      </c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F380" s="30"/>
      <c r="AG380" s="30"/>
      <c r="AH380" s="30"/>
      <c r="AI380" s="30"/>
      <c r="AJ380" s="30"/>
      <c r="AK380" s="30"/>
      <c r="AL380" s="30"/>
      <c r="AM380" s="30"/>
      <c r="AN380" s="30"/>
      <c r="AO380" s="30"/>
      <c r="AP380" s="30"/>
      <c r="AQ380" s="30"/>
    </row>
    <row r="381" spans="1:43" ht="33.75" outlineLevel="1">
      <c r="A381" s="44">
        <v>224</v>
      </c>
      <c r="B381" s="37" t="s">
        <v>280</v>
      </c>
      <c r="C381" s="49" t="s">
        <v>281</v>
      </c>
      <c r="D381" s="39" t="s">
        <v>158</v>
      </c>
      <c r="E381" s="55">
        <v>1</v>
      </c>
      <c r="F381" s="43"/>
      <c r="G381" s="43">
        <f t="shared" si="0"/>
        <v>0</v>
      </c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  <c r="AB381" s="30"/>
      <c r="AC381" s="30"/>
      <c r="AD381" s="30"/>
      <c r="AE381" s="30"/>
      <c r="AF381" s="30"/>
      <c r="AG381" s="30"/>
      <c r="AH381" s="30"/>
      <c r="AI381" s="30"/>
      <c r="AJ381" s="30"/>
      <c r="AK381" s="30"/>
      <c r="AL381" s="30"/>
      <c r="AM381" s="30"/>
      <c r="AN381" s="30"/>
      <c r="AO381" s="30"/>
      <c r="AP381" s="30"/>
      <c r="AQ381" s="30"/>
    </row>
    <row r="382" spans="1:43" ht="22.5" outlineLevel="1">
      <c r="A382" s="44">
        <v>225</v>
      </c>
      <c r="B382" s="37" t="s">
        <v>282</v>
      </c>
      <c r="C382" s="49" t="s">
        <v>283</v>
      </c>
      <c r="D382" s="39" t="s">
        <v>158</v>
      </c>
      <c r="E382" s="55">
        <v>1</v>
      </c>
      <c r="F382" s="43"/>
      <c r="G382" s="43">
        <f t="shared" si="0"/>
        <v>0</v>
      </c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F382" s="30"/>
      <c r="AG382" s="30"/>
      <c r="AH382" s="30"/>
      <c r="AI382" s="30"/>
      <c r="AJ382" s="30"/>
      <c r="AK382" s="30"/>
      <c r="AL382" s="30"/>
      <c r="AM382" s="30"/>
      <c r="AN382" s="30"/>
      <c r="AO382" s="30"/>
      <c r="AP382" s="30"/>
      <c r="AQ382" s="30"/>
    </row>
    <row r="383" spans="1:43" ht="22.5" outlineLevel="1">
      <c r="A383" s="44">
        <v>226</v>
      </c>
      <c r="B383" s="37" t="s">
        <v>284</v>
      </c>
      <c r="C383" s="49" t="s">
        <v>285</v>
      </c>
      <c r="D383" s="39" t="s">
        <v>158</v>
      </c>
      <c r="E383" s="55">
        <v>1</v>
      </c>
      <c r="F383" s="43"/>
      <c r="G383" s="43">
        <f t="shared" si="0"/>
        <v>0</v>
      </c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F383" s="30"/>
      <c r="AG383" s="30"/>
      <c r="AH383" s="30"/>
      <c r="AI383" s="30"/>
      <c r="AJ383" s="30"/>
      <c r="AK383" s="30"/>
      <c r="AL383" s="30"/>
      <c r="AM383" s="30"/>
      <c r="AN383" s="30"/>
      <c r="AO383" s="30"/>
      <c r="AP383" s="30"/>
      <c r="AQ383" s="30"/>
    </row>
    <row r="384" spans="1:43" ht="22.5" outlineLevel="1">
      <c r="A384" s="44">
        <v>227</v>
      </c>
      <c r="B384" s="37" t="s">
        <v>286</v>
      </c>
      <c r="C384" s="49" t="s">
        <v>287</v>
      </c>
      <c r="D384" s="39" t="s">
        <v>52</v>
      </c>
      <c r="E384" s="55">
        <v>0</v>
      </c>
      <c r="F384" s="43"/>
      <c r="G384" s="43">
        <f t="shared" si="0"/>
        <v>0</v>
      </c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F384" s="30"/>
      <c r="AG384" s="30"/>
      <c r="AH384" s="30"/>
      <c r="AI384" s="30"/>
      <c r="AJ384" s="30"/>
      <c r="AK384" s="30"/>
      <c r="AL384" s="30"/>
      <c r="AM384" s="30"/>
      <c r="AN384" s="30"/>
      <c r="AO384" s="30"/>
      <c r="AP384" s="30"/>
      <c r="AQ384" s="30"/>
    </row>
    <row r="385" spans="1:43" ht="22.5" outlineLevel="1">
      <c r="A385" s="44">
        <v>228</v>
      </c>
      <c r="B385" s="37" t="s">
        <v>288</v>
      </c>
      <c r="C385" s="49" t="s">
        <v>289</v>
      </c>
      <c r="D385" s="39" t="s">
        <v>52</v>
      </c>
      <c r="E385" s="55">
        <v>0</v>
      </c>
      <c r="F385" s="43"/>
      <c r="G385" s="43">
        <f t="shared" si="0"/>
        <v>0</v>
      </c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E385" s="30"/>
      <c r="AF385" s="30"/>
      <c r="AG385" s="30"/>
      <c r="AH385" s="30"/>
      <c r="AI385" s="30"/>
      <c r="AJ385" s="30"/>
      <c r="AK385" s="30"/>
      <c r="AL385" s="30"/>
      <c r="AM385" s="30"/>
      <c r="AN385" s="30"/>
      <c r="AO385" s="30"/>
      <c r="AP385" s="30"/>
      <c r="AQ385" s="30"/>
    </row>
    <row r="386" spans="1:43" ht="22.5" outlineLevel="1">
      <c r="A386" s="44">
        <v>229</v>
      </c>
      <c r="B386" s="37" t="s">
        <v>290</v>
      </c>
      <c r="C386" s="49" t="s">
        <v>291</v>
      </c>
      <c r="D386" s="39" t="s">
        <v>52</v>
      </c>
      <c r="E386" s="55">
        <v>0</v>
      </c>
      <c r="F386" s="43"/>
      <c r="G386" s="43">
        <f t="shared" si="0"/>
        <v>0</v>
      </c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F386" s="30"/>
      <c r="AG386" s="30"/>
      <c r="AH386" s="30"/>
      <c r="AI386" s="30"/>
      <c r="AJ386" s="30"/>
      <c r="AK386" s="30"/>
      <c r="AL386" s="30"/>
      <c r="AM386" s="30"/>
      <c r="AN386" s="30"/>
      <c r="AO386" s="30"/>
      <c r="AP386" s="30"/>
      <c r="AQ386" s="30"/>
    </row>
    <row r="387" spans="1:43" ht="22.5" outlineLevel="1">
      <c r="A387" s="44">
        <v>230</v>
      </c>
      <c r="B387" s="37" t="s">
        <v>292</v>
      </c>
      <c r="C387" s="49" t="s">
        <v>293</v>
      </c>
      <c r="D387" s="39" t="s">
        <v>62</v>
      </c>
      <c r="E387" s="55">
        <v>5</v>
      </c>
      <c r="F387" s="43"/>
      <c r="G387" s="43">
        <f t="shared" si="0"/>
        <v>0</v>
      </c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F387" s="30"/>
      <c r="AG387" s="30"/>
      <c r="AH387" s="30"/>
      <c r="AI387" s="30"/>
      <c r="AJ387" s="30"/>
      <c r="AK387" s="30"/>
      <c r="AL387" s="30"/>
      <c r="AM387" s="30"/>
      <c r="AN387" s="30"/>
      <c r="AO387" s="30"/>
      <c r="AP387" s="30"/>
      <c r="AQ387" s="30"/>
    </row>
    <row r="388" spans="1:43" ht="33.75" outlineLevel="1">
      <c r="A388" s="44">
        <v>231</v>
      </c>
      <c r="B388" s="37" t="s">
        <v>294</v>
      </c>
      <c r="C388" s="49" t="s">
        <v>295</v>
      </c>
      <c r="D388" s="39" t="s">
        <v>62</v>
      </c>
      <c r="E388" s="55">
        <v>2</v>
      </c>
      <c r="F388" s="43"/>
      <c r="G388" s="43">
        <f t="shared" si="0"/>
        <v>0</v>
      </c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F388" s="30"/>
      <c r="AG388" s="30"/>
      <c r="AH388" s="30"/>
      <c r="AI388" s="30"/>
      <c r="AJ388" s="30"/>
      <c r="AK388" s="30"/>
      <c r="AL388" s="30"/>
      <c r="AM388" s="30"/>
      <c r="AN388" s="30"/>
      <c r="AO388" s="30"/>
      <c r="AP388" s="30"/>
      <c r="AQ388" s="30"/>
    </row>
    <row r="389" spans="1:43" outlineLevel="1">
      <c r="A389" s="44"/>
      <c r="B389" s="37"/>
      <c r="C389" s="326" t="s">
        <v>296</v>
      </c>
      <c r="D389" s="383"/>
      <c r="E389" s="383"/>
      <c r="F389" s="383"/>
      <c r="G389" s="384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E389" s="30"/>
      <c r="AF389" s="30"/>
      <c r="AG389" s="30"/>
      <c r="AH389" s="30"/>
      <c r="AI389" s="30"/>
      <c r="AJ389" s="36" t="str">
        <f>C389</f>
        <v>dle obrázku</v>
      </c>
      <c r="AK389" s="30"/>
      <c r="AL389" s="30"/>
      <c r="AM389" s="30"/>
      <c r="AN389" s="30"/>
      <c r="AO389" s="30"/>
      <c r="AP389" s="30"/>
      <c r="AQ389" s="30"/>
    </row>
    <row r="390" spans="1:43" ht="33.75" outlineLevel="1">
      <c r="A390" s="44">
        <v>232</v>
      </c>
      <c r="B390" s="37" t="s">
        <v>297</v>
      </c>
      <c r="C390" s="49" t="s">
        <v>298</v>
      </c>
      <c r="D390" s="39" t="s">
        <v>62</v>
      </c>
      <c r="E390" s="55">
        <v>0</v>
      </c>
      <c r="F390" s="43"/>
      <c r="G390" s="43">
        <f>E390*F390</f>
        <v>0</v>
      </c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F390" s="30"/>
      <c r="AG390" s="30"/>
      <c r="AH390" s="30"/>
      <c r="AI390" s="30"/>
      <c r="AJ390" s="30"/>
      <c r="AK390" s="30"/>
      <c r="AL390" s="30"/>
      <c r="AM390" s="30"/>
      <c r="AN390" s="30"/>
      <c r="AO390" s="30"/>
      <c r="AP390" s="30"/>
      <c r="AQ390" s="30"/>
    </row>
    <row r="391" spans="1:43" outlineLevel="1">
      <c r="A391" s="44"/>
      <c r="B391" s="37"/>
      <c r="C391" s="326" t="s">
        <v>296</v>
      </c>
      <c r="D391" s="383"/>
      <c r="E391" s="383"/>
      <c r="F391" s="383"/>
      <c r="G391" s="384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E391" s="30"/>
      <c r="AF391" s="30"/>
      <c r="AG391" s="30"/>
      <c r="AH391" s="30"/>
      <c r="AI391" s="30"/>
      <c r="AJ391" s="36" t="str">
        <f>C391</f>
        <v>dle obrázku</v>
      </c>
      <c r="AK391" s="30"/>
      <c r="AL391" s="30"/>
      <c r="AM391" s="30"/>
      <c r="AN391" s="30"/>
      <c r="AO391" s="30"/>
      <c r="AP391" s="30"/>
      <c r="AQ391" s="30"/>
    </row>
    <row r="392" spans="1:43" outlineLevel="1">
      <c r="A392" s="44">
        <v>233</v>
      </c>
      <c r="B392" s="37" t="s">
        <v>299</v>
      </c>
      <c r="C392" s="49" t="s">
        <v>300</v>
      </c>
      <c r="D392" s="39" t="s">
        <v>60</v>
      </c>
      <c r="E392" s="55">
        <v>1.7187600000000001</v>
      </c>
      <c r="F392" s="43"/>
      <c r="G392" s="43">
        <f>E392*F392</f>
        <v>0</v>
      </c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F392" s="30"/>
      <c r="AG392" s="30"/>
      <c r="AH392" s="30"/>
      <c r="AI392" s="30"/>
      <c r="AJ392" s="30"/>
      <c r="AK392" s="30"/>
      <c r="AL392" s="30"/>
      <c r="AM392" s="30"/>
      <c r="AN392" s="30"/>
      <c r="AO392" s="30"/>
      <c r="AP392" s="30"/>
      <c r="AQ392" s="30"/>
    </row>
    <row r="393" spans="1:43">
      <c r="A393" s="45" t="s">
        <v>49</v>
      </c>
      <c r="B393" s="38" t="s">
        <v>31</v>
      </c>
      <c r="C393" s="50" t="s">
        <v>32</v>
      </c>
      <c r="D393" s="40"/>
      <c r="E393" s="56"/>
      <c r="F393" s="330">
        <f>SUM(G394:G412)</f>
        <v>0</v>
      </c>
      <c r="G393" s="331"/>
    </row>
    <row r="394" spans="1:43" ht="33.75" outlineLevel="1">
      <c r="A394" s="44">
        <v>234</v>
      </c>
      <c r="B394" s="37" t="s">
        <v>301</v>
      </c>
      <c r="C394" s="49" t="s">
        <v>302</v>
      </c>
      <c r="D394" s="39" t="s">
        <v>52</v>
      </c>
      <c r="E394" s="55">
        <v>1</v>
      </c>
      <c r="F394" s="43"/>
      <c r="G394" s="43">
        <f>E394*F394</f>
        <v>0</v>
      </c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F394" s="30"/>
      <c r="AG394" s="30"/>
      <c r="AH394" s="30"/>
      <c r="AI394" s="30"/>
      <c r="AJ394" s="30"/>
      <c r="AK394" s="30"/>
      <c r="AL394" s="30"/>
      <c r="AM394" s="30"/>
      <c r="AN394" s="30"/>
      <c r="AO394" s="30"/>
      <c r="AP394" s="30"/>
      <c r="AQ394" s="30"/>
    </row>
    <row r="395" spans="1:43" outlineLevel="1">
      <c r="A395" s="44"/>
      <c r="B395" s="37"/>
      <c r="C395" s="326" t="s">
        <v>303</v>
      </c>
      <c r="D395" s="383"/>
      <c r="E395" s="383"/>
      <c r="F395" s="383"/>
      <c r="G395" s="384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F395" s="30"/>
      <c r="AG395" s="30"/>
      <c r="AH395" s="30"/>
      <c r="AI395" s="30"/>
      <c r="AJ395" s="36" t="str">
        <f>C395</f>
        <v>POZNÁMKA K ZÁMEČNICKÝM VÝROBKŮM</v>
      </c>
      <c r="AK395" s="30"/>
      <c r="AL395" s="30"/>
      <c r="AM395" s="30"/>
      <c r="AN395" s="30"/>
      <c r="AO395" s="30"/>
      <c r="AP395" s="30"/>
      <c r="AQ395" s="30"/>
    </row>
    <row r="396" spans="1:43" ht="22.5" customHeight="1" outlineLevel="1">
      <c r="A396" s="44"/>
      <c r="B396" s="37"/>
      <c r="C396" s="326" t="s">
        <v>304</v>
      </c>
      <c r="D396" s="383"/>
      <c r="E396" s="383"/>
      <c r="F396" s="383"/>
      <c r="G396" s="384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F396" s="30"/>
      <c r="AG396" s="30"/>
      <c r="AH396" s="30"/>
      <c r="AI396" s="30"/>
      <c r="AJ396" s="36" t="str">
        <f>C396</f>
        <v>Všechny výrobky jsou naceněny komplet dod+mont vč.zasklení,kování,povrch. úpravy,samozavírače,osazení,obkladu ostění,madel a pák.uzávěru.</v>
      </c>
      <c r="AK396" s="30"/>
      <c r="AL396" s="30"/>
      <c r="AM396" s="30"/>
      <c r="AN396" s="30"/>
      <c r="AO396" s="30"/>
      <c r="AP396" s="30"/>
      <c r="AQ396" s="30"/>
    </row>
    <row r="397" spans="1:43" ht="12.75" customHeight="1" outlineLevel="1">
      <c r="A397" s="44"/>
      <c r="B397" s="37"/>
      <c r="C397" s="326" t="s">
        <v>305</v>
      </c>
      <c r="D397" s="383"/>
      <c r="E397" s="383"/>
      <c r="F397" s="383"/>
      <c r="G397" s="384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F397" s="30"/>
      <c r="AG397" s="30"/>
      <c r="AH397" s="30"/>
      <c r="AI397" s="30"/>
      <c r="AJ397" s="36" t="str">
        <f>C397</f>
        <v>U každé položky je uveden odkaz na tabulku,kde je uveden přesný popis daného výrobku.</v>
      </c>
      <c r="AK397" s="30"/>
      <c r="AL397" s="30"/>
      <c r="AM397" s="30"/>
      <c r="AN397" s="30"/>
      <c r="AO397" s="30"/>
      <c r="AP397" s="30"/>
      <c r="AQ397" s="30"/>
    </row>
    <row r="398" spans="1:43" outlineLevel="1">
      <c r="A398" s="44">
        <v>235</v>
      </c>
      <c r="B398" s="37" t="s">
        <v>306</v>
      </c>
      <c r="C398" s="49" t="s">
        <v>307</v>
      </c>
      <c r="D398" s="39" t="s">
        <v>158</v>
      </c>
      <c r="E398" s="55">
        <v>1</v>
      </c>
      <c r="F398" s="43"/>
      <c r="G398" s="43">
        <f t="shared" ref="G398:G408" si="1">E398*F398</f>
        <v>0</v>
      </c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F398" s="30"/>
      <c r="AG398" s="30"/>
      <c r="AH398" s="30"/>
      <c r="AI398" s="30"/>
      <c r="AJ398" s="30"/>
      <c r="AK398" s="30"/>
      <c r="AL398" s="30"/>
      <c r="AM398" s="30"/>
      <c r="AN398" s="30"/>
      <c r="AO398" s="30"/>
      <c r="AP398" s="30"/>
      <c r="AQ398" s="30"/>
    </row>
    <row r="399" spans="1:43" ht="22.5" outlineLevel="1">
      <c r="A399" s="44">
        <v>236</v>
      </c>
      <c r="B399" s="37" t="s">
        <v>308</v>
      </c>
      <c r="C399" s="49" t="s">
        <v>309</v>
      </c>
      <c r="D399" s="39" t="s">
        <v>52</v>
      </c>
      <c r="E399" s="55">
        <v>1</v>
      </c>
      <c r="F399" s="43"/>
      <c r="G399" s="43">
        <f t="shared" si="1"/>
        <v>0</v>
      </c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F399" s="30"/>
      <c r="AG399" s="30"/>
      <c r="AH399" s="30"/>
      <c r="AI399" s="30"/>
      <c r="AJ399" s="30"/>
      <c r="AK399" s="30"/>
      <c r="AL399" s="30"/>
      <c r="AM399" s="30"/>
      <c r="AN399" s="30"/>
      <c r="AO399" s="30"/>
      <c r="AP399" s="30"/>
      <c r="AQ399" s="30"/>
    </row>
    <row r="400" spans="1:43" ht="22.5" outlineLevel="1">
      <c r="A400" s="44">
        <v>237</v>
      </c>
      <c r="B400" s="37" t="s">
        <v>310</v>
      </c>
      <c r="C400" s="49" t="s">
        <v>311</v>
      </c>
      <c r="D400" s="39" t="s">
        <v>158</v>
      </c>
      <c r="E400" s="55">
        <v>2</v>
      </c>
      <c r="F400" s="43"/>
      <c r="G400" s="43">
        <f t="shared" si="1"/>
        <v>0</v>
      </c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F400" s="30"/>
      <c r="AG400" s="30"/>
      <c r="AH400" s="30"/>
      <c r="AI400" s="30"/>
      <c r="AJ400" s="30"/>
      <c r="AK400" s="30"/>
      <c r="AL400" s="30"/>
      <c r="AM400" s="30"/>
      <c r="AN400" s="30"/>
      <c r="AO400" s="30"/>
      <c r="AP400" s="30"/>
      <c r="AQ400" s="30"/>
    </row>
    <row r="401" spans="1:43" ht="33.75" outlineLevel="1">
      <c r="A401" s="44">
        <v>238</v>
      </c>
      <c r="B401" s="37" t="s">
        <v>312</v>
      </c>
      <c r="C401" s="49" t="s">
        <v>313</v>
      </c>
      <c r="D401" s="39" t="s">
        <v>158</v>
      </c>
      <c r="E401" s="55">
        <v>0</v>
      </c>
      <c r="F401" s="43"/>
      <c r="G401" s="43">
        <f t="shared" si="1"/>
        <v>0</v>
      </c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F401" s="30"/>
      <c r="AG401" s="30"/>
      <c r="AH401" s="30"/>
      <c r="AI401" s="30"/>
      <c r="AJ401" s="30"/>
      <c r="AK401" s="30"/>
      <c r="AL401" s="30"/>
      <c r="AM401" s="30"/>
      <c r="AN401" s="30"/>
      <c r="AO401" s="30"/>
      <c r="AP401" s="30"/>
      <c r="AQ401" s="30"/>
    </row>
    <row r="402" spans="1:43" ht="22.5" outlineLevel="1">
      <c r="A402" s="44">
        <v>239</v>
      </c>
      <c r="B402" s="37" t="s">
        <v>314</v>
      </c>
      <c r="C402" s="49" t="s">
        <v>315</v>
      </c>
      <c r="D402" s="39" t="s">
        <v>158</v>
      </c>
      <c r="E402" s="55">
        <v>0</v>
      </c>
      <c r="F402" s="43"/>
      <c r="G402" s="43">
        <f t="shared" si="1"/>
        <v>0</v>
      </c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  <c r="AK402" s="30"/>
      <c r="AL402" s="30"/>
      <c r="AM402" s="30"/>
      <c r="AN402" s="30"/>
      <c r="AO402" s="30"/>
      <c r="AP402" s="30"/>
      <c r="AQ402" s="30"/>
    </row>
    <row r="403" spans="1:43" ht="33.75" outlineLevel="1">
      <c r="A403" s="44">
        <v>240</v>
      </c>
      <c r="B403" s="37" t="s">
        <v>316</v>
      </c>
      <c r="C403" s="49" t="s">
        <v>317</v>
      </c>
      <c r="D403" s="39" t="s">
        <v>158</v>
      </c>
      <c r="E403" s="55">
        <v>0</v>
      </c>
      <c r="F403" s="43"/>
      <c r="G403" s="43">
        <f t="shared" si="1"/>
        <v>0</v>
      </c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  <c r="AF403" s="30"/>
      <c r="AG403" s="30"/>
      <c r="AH403" s="30"/>
      <c r="AI403" s="30"/>
      <c r="AJ403" s="30"/>
      <c r="AK403" s="30"/>
      <c r="AL403" s="30"/>
      <c r="AM403" s="30"/>
      <c r="AN403" s="30"/>
      <c r="AO403" s="30"/>
      <c r="AP403" s="30"/>
      <c r="AQ403" s="30"/>
    </row>
    <row r="404" spans="1:43" ht="22.5" outlineLevel="1">
      <c r="A404" s="44">
        <v>241</v>
      </c>
      <c r="B404" s="37" t="s">
        <v>318</v>
      </c>
      <c r="C404" s="49" t="s">
        <v>319</v>
      </c>
      <c r="D404" s="39" t="s">
        <v>158</v>
      </c>
      <c r="E404" s="55">
        <v>0</v>
      </c>
      <c r="F404" s="43"/>
      <c r="G404" s="43">
        <f t="shared" si="1"/>
        <v>0</v>
      </c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  <c r="AK404" s="30"/>
      <c r="AL404" s="30"/>
      <c r="AM404" s="30"/>
      <c r="AN404" s="30"/>
      <c r="AO404" s="30"/>
      <c r="AP404" s="30"/>
      <c r="AQ404" s="30"/>
    </row>
    <row r="405" spans="1:43" ht="22.5" outlineLevel="1">
      <c r="A405" s="44">
        <v>242</v>
      </c>
      <c r="B405" s="37" t="s">
        <v>320</v>
      </c>
      <c r="C405" s="49" t="s">
        <v>321</v>
      </c>
      <c r="D405" s="39" t="s">
        <v>158</v>
      </c>
      <c r="E405" s="55">
        <v>3</v>
      </c>
      <c r="F405" s="43"/>
      <c r="G405" s="43">
        <f t="shared" si="1"/>
        <v>0</v>
      </c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E405" s="30"/>
      <c r="AF405" s="30"/>
      <c r="AG405" s="30"/>
      <c r="AH405" s="30"/>
      <c r="AI405" s="30"/>
      <c r="AJ405" s="30"/>
      <c r="AK405" s="30"/>
      <c r="AL405" s="30"/>
      <c r="AM405" s="30"/>
      <c r="AN405" s="30"/>
      <c r="AO405" s="30"/>
      <c r="AP405" s="30"/>
      <c r="AQ405" s="30"/>
    </row>
    <row r="406" spans="1:43" ht="22.5" outlineLevel="1">
      <c r="A406" s="44">
        <v>243</v>
      </c>
      <c r="B406" s="37" t="s">
        <v>322</v>
      </c>
      <c r="C406" s="49" t="s">
        <v>323</v>
      </c>
      <c r="D406" s="39" t="s">
        <v>158</v>
      </c>
      <c r="E406" s="55">
        <v>3</v>
      </c>
      <c r="F406" s="43"/>
      <c r="G406" s="43">
        <f t="shared" si="1"/>
        <v>0</v>
      </c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F406" s="30"/>
      <c r="AG406" s="30"/>
      <c r="AH406" s="30"/>
      <c r="AI406" s="30"/>
      <c r="AJ406" s="30"/>
      <c r="AK406" s="30"/>
      <c r="AL406" s="30"/>
      <c r="AM406" s="30"/>
      <c r="AN406" s="30"/>
      <c r="AO406" s="30"/>
      <c r="AP406" s="30"/>
      <c r="AQ406" s="30"/>
    </row>
    <row r="407" spans="1:43" ht="22.5" outlineLevel="1">
      <c r="A407" s="44">
        <v>244</v>
      </c>
      <c r="B407" s="37" t="s">
        <v>324</v>
      </c>
      <c r="C407" s="49" t="s">
        <v>325</v>
      </c>
      <c r="D407" s="39" t="s">
        <v>158</v>
      </c>
      <c r="E407" s="55">
        <v>2</v>
      </c>
      <c r="F407" s="43"/>
      <c r="G407" s="43">
        <f t="shared" si="1"/>
        <v>0</v>
      </c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F407" s="30"/>
      <c r="AG407" s="30"/>
      <c r="AH407" s="30"/>
      <c r="AI407" s="30"/>
      <c r="AJ407" s="30"/>
      <c r="AK407" s="30"/>
      <c r="AL407" s="30"/>
      <c r="AM407" s="30"/>
      <c r="AN407" s="30"/>
      <c r="AO407" s="30"/>
      <c r="AP407" s="30"/>
      <c r="AQ407" s="30"/>
    </row>
    <row r="408" spans="1:43" outlineLevel="1">
      <c r="A408" s="44">
        <v>245</v>
      </c>
      <c r="B408" s="37" t="s">
        <v>326</v>
      </c>
      <c r="C408" s="49" t="s">
        <v>327</v>
      </c>
      <c r="D408" s="39" t="s">
        <v>58</v>
      </c>
      <c r="E408" s="55">
        <v>250</v>
      </c>
      <c r="F408" s="43"/>
      <c r="G408" s="43">
        <f t="shared" si="1"/>
        <v>0</v>
      </c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E408" s="30"/>
      <c r="AF408" s="30"/>
      <c r="AG408" s="30"/>
      <c r="AH408" s="30"/>
      <c r="AI408" s="30"/>
      <c r="AJ408" s="30"/>
      <c r="AK408" s="30"/>
      <c r="AL408" s="30"/>
      <c r="AM408" s="30"/>
      <c r="AN408" s="30"/>
      <c r="AO408" s="30"/>
      <c r="AP408" s="30"/>
      <c r="AQ408" s="30"/>
    </row>
    <row r="409" spans="1:43" outlineLevel="1">
      <c r="A409" s="44"/>
      <c r="B409" s="37"/>
      <c r="C409" s="51" t="s">
        <v>328</v>
      </c>
      <c r="D409" s="41"/>
      <c r="E409" s="57">
        <v>250</v>
      </c>
      <c r="F409" s="43"/>
      <c r="G409" s="43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F409" s="30"/>
      <c r="AG409" s="30"/>
      <c r="AH409" s="30"/>
      <c r="AI409" s="30"/>
      <c r="AJ409" s="30"/>
      <c r="AK409" s="30"/>
      <c r="AL409" s="30"/>
      <c r="AM409" s="30"/>
      <c r="AN409" s="30"/>
      <c r="AO409" s="30"/>
      <c r="AP409" s="30"/>
      <c r="AQ409" s="30"/>
    </row>
    <row r="410" spans="1:43" outlineLevel="1">
      <c r="A410" s="44"/>
      <c r="B410" s="37"/>
      <c r="C410" s="51" t="s">
        <v>329</v>
      </c>
      <c r="D410" s="41"/>
      <c r="E410" s="57">
        <v>0</v>
      </c>
      <c r="F410" s="43"/>
      <c r="G410" s="43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F410" s="30"/>
      <c r="AG410" s="30"/>
      <c r="AH410" s="30"/>
      <c r="AI410" s="30"/>
      <c r="AJ410" s="30"/>
      <c r="AK410" s="30"/>
      <c r="AL410" s="30"/>
      <c r="AM410" s="30"/>
      <c r="AN410" s="30"/>
      <c r="AO410" s="30"/>
      <c r="AP410" s="30"/>
      <c r="AQ410" s="30"/>
    </row>
    <row r="411" spans="1:43" ht="22.5" outlineLevel="1">
      <c r="A411" s="44">
        <v>246</v>
      </c>
      <c r="B411" s="37" t="s">
        <v>330</v>
      </c>
      <c r="C411" s="49" t="s">
        <v>331</v>
      </c>
      <c r="D411" s="39" t="s">
        <v>52</v>
      </c>
      <c r="E411" s="55">
        <v>0</v>
      </c>
      <c r="F411" s="43"/>
      <c r="G411" s="43">
        <f>E411*F411</f>
        <v>0</v>
      </c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F411" s="30"/>
      <c r="AG411" s="30"/>
      <c r="AH411" s="30"/>
      <c r="AI411" s="30"/>
      <c r="AJ411" s="30"/>
      <c r="AK411" s="30"/>
      <c r="AL411" s="30"/>
      <c r="AM411" s="30"/>
      <c r="AN411" s="30"/>
      <c r="AO411" s="30"/>
      <c r="AP411" s="30"/>
      <c r="AQ411" s="30"/>
    </row>
    <row r="412" spans="1:43" outlineLevel="1">
      <c r="A412" s="44">
        <v>247</v>
      </c>
      <c r="B412" s="37" t="s">
        <v>332</v>
      </c>
      <c r="C412" s="49" t="s">
        <v>333</v>
      </c>
      <c r="D412" s="39" t="s">
        <v>60</v>
      </c>
      <c r="E412" s="55">
        <v>0</v>
      </c>
      <c r="F412" s="43"/>
      <c r="G412" s="43">
        <f>E412*F412</f>
        <v>0</v>
      </c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  <c r="AB412" s="30"/>
      <c r="AC412" s="30"/>
      <c r="AD412" s="30"/>
      <c r="AE412" s="30"/>
      <c r="AF412" s="30"/>
      <c r="AG412" s="30"/>
      <c r="AH412" s="30"/>
      <c r="AI412" s="30"/>
      <c r="AJ412" s="30"/>
      <c r="AK412" s="30"/>
      <c r="AL412" s="30"/>
      <c r="AM412" s="30"/>
      <c r="AN412" s="30"/>
      <c r="AO412" s="30"/>
      <c r="AP412" s="30"/>
      <c r="AQ412" s="30"/>
    </row>
    <row r="413" spans="1:43">
      <c r="A413" s="45" t="s">
        <v>49</v>
      </c>
      <c r="B413" s="38" t="s">
        <v>33</v>
      </c>
      <c r="C413" s="50" t="s">
        <v>34</v>
      </c>
      <c r="D413" s="40"/>
      <c r="E413" s="56"/>
      <c r="F413" s="330">
        <f>SUM(G414:G441)</f>
        <v>0</v>
      </c>
      <c r="G413" s="331"/>
    </row>
    <row r="414" spans="1:43" outlineLevel="1">
      <c r="A414" s="44">
        <v>257</v>
      </c>
      <c r="B414" s="37" t="s">
        <v>334</v>
      </c>
      <c r="C414" s="49" t="s">
        <v>335</v>
      </c>
      <c r="D414" s="39" t="s">
        <v>57</v>
      </c>
      <c r="E414" s="55">
        <v>22.43</v>
      </c>
      <c r="F414" s="43"/>
      <c r="G414" s="43">
        <f>E414*F414</f>
        <v>0</v>
      </c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  <c r="AB414" s="30"/>
      <c r="AC414" s="30"/>
      <c r="AD414" s="30"/>
      <c r="AE414" s="30"/>
      <c r="AF414" s="30"/>
      <c r="AG414" s="30"/>
      <c r="AH414" s="30"/>
      <c r="AI414" s="30"/>
      <c r="AJ414" s="30"/>
      <c r="AK414" s="30"/>
      <c r="AL414" s="30"/>
      <c r="AM414" s="30"/>
      <c r="AN414" s="30"/>
      <c r="AO414" s="30"/>
      <c r="AP414" s="30"/>
      <c r="AQ414" s="30"/>
    </row>
    <row r="415" spans="1:43" outlineLevel="1">
      <c r="A415" s="44"/>
      <c r="B415" s="37"/>
      <c r="C415" s="51" t="s">
        <v>154</v>
      </c>
      <c r="D415" s="41"/>
      <c r="E415" s="57">
        <v>6.68</v>
      </c>
      <c r="F415" s="43"/>
      <c r="G415" s="43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F415" s="30"/>
      <c r="AG415" s="30"/>
      <c r="AH415" s="30"/>
      <c r="AI415" s="30"/>
      <c r="AJ415" s="30"/>
      <c r="AK415" s="30"/>
      <c r="AL415" s="30"/>
      <c r="AM415" s="30"/>
      <c r="AN415" s="30"/>
      <c r="AO415" s="30"/>
      <c r="AP415" s="30"/>
      <c r="AQ415" s="30"/>
    </row>
    <row r="416" spans="1:43" outlineLevel="1">
      <c r="A416" s="44"/>
      <c r="B416" s="37"/>
      <c r="C416" s="51" t="s">
        <v>155</v>
      </c>
      <c r="D416" s="41"/>
      <c r="E416" s="57">
        <v>15.75</v>
      </c>
      <c r="F416" s="43"/>
      <c r="G416" s="43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  <c r="AB416" s="30"/>
      <c r="AC416" s="30"/>
      <c r="AD416" s="30"/>
      <c r="AE416" s="30"/>
      <c r="AF416" s="30"/>
      <c r="AG416" s="30"/>
      <c r="AH416" s="30"/>
      <c r="AI416" s="30"/>
      <c r="AJ416" s="30"/>
      <c r="AK416" s="30"/>
      <c r="AL416" s="30"/>
      <c r="AM416" s="30"/>
      <c r="AN416" s="30"/>
      <c r="AO416" s="30"/>
      <c r="AP416" s="30"/>
      <c r="AQ416" s="30"/>
    </row>
    <row r="417" spans="1:43" outlineLevel="1">
      <c r="A417" s="44">
        <v>258</v>
      </c>
      <c r="B417" s="37" t="s">
        <v>336</v>
      </c>
      <c r="C417" s="49" t="s">
        <v>337</v>
      </c>
      <c r="D417" s="39" t="s">
        <v>57</v>
      </c>
      <c r="E417" s="55">
        <v>15.75</v>
      </c>
      <c r="F417" s="43"/>
      <c r="G417" s="43">
        <f>E417*F417</f>
        <v>0</v>
      </c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  <c r="AB417" s="30"/>
      <c r="AC417" s="30"/>
      <c r="AD417" s="30"/>
      <c r="AE417" s="30"/>
      <c r="AF417" s="30"/>
      <c r="AG417" s="30"/>
      <c r="AH417" s="30"/>
      <c r="AI417" s="30"/>
      <c r="AJ417" s="30"/>
      <c r="AK417" s="30"/>
      <c r="AL417" s="30"/>
      <c r="AM417" s="30"/>
      <c r="AN417" s="30"/>
      <c r="AO417" s="30"/>
      <c r="AP417" s="30"/>
      <c r="AQ417" s="30"/>
    </row>
    <row r="418" spans="1:43" outlineLevel="1">
      <c r="A418" s="44"/>
      <c r="B418" s="37"/>
      <c r="C418" s="51" t="s">
        <v>155</v>
      </c>
      <c r="D418" s="41"/>
      <c r="E418" s="57">
        <v>15.75</v>
      </c>
      <c r="F418" s="43"/>
      <c r="G418" s="43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  <c r="AK418" s="30"/>
      <c r="AL418" s="30"/>
      <c r="AM418" s="30"/>
      <c r="AN418" s="30"/>
      <c r="AO418" s="30"/>
      <c r="AP418" s="30"/>
      <c r="AQ418" s="30"/>
    </row>
    <row r="419" spans="1:43" outlineLevel="1">
      <c r="A419" s="44">
        <v>259</v>
      </c>
      <c r="B419" s="37" t="s">
        <v>338</v>
      </c>
      <c r="C419" s="49" t="s">
        <v>339</v>
      </c>
      <c r="D419" s="39" t="s">
        <v>62</v>
      </c>
      <c r="E419" s="55">
        <v>0</v>
      </c>
      <c r="F419" s="43"/>
      <c r="G419" s="43">
        <f>E419*F419</f>
        <v>0</v>
      </c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  <c r="AB419" s="30"/>
      <c r="AC419" s="30"/>
      <c r="AD419" s="30"/>
      <c r="AE419" s="30"/>
      <c r="AF419" s="30"/>
      <c r="AG419" s="30"/>
      <c r="AH419" s="30"/>
      <c r="AI419" s="30"/>
      <c r="AJ419" s="30"/>
      <c r="AK419" s="30"/>
      <c r="AL419" s="30"/>
      <c r="AM419" s="30"/>
      <c r="AN419" s="30"/>
      <c r="AO419" s="30"/>
      <c r="AP419" s="30"/>
      <c r="AQ419" s="30"/>
    </row>
    <row r="420" spans="1:43" outlineLevel="1">
      <c r="A420" s="44"/>
      <c r="B420" s="37"/>
      <c r="C420" s="51" t="s">
        <v>340</v>
      </c>
      <c r="D420" s="41"/>
      <c r="E420" s="57">
        <v>0</v>
      </c>
      <c r="F420" s="43"/>
      <c r="G420" s="43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  <c r="AK420" s="30"/>
      <c r="AL420" s="30"/>
      <c r="AM420" s="30"/>
      <c r="AN420" s="30"/>
      <c r="AO420" s="30"/>
      <c r="AP420" s="30"/>
      <c r="AQ420" s="30"/>
    </row>
    <row r="421" spans="1:43" outlineLevel="1">
      <c r="A421" s="44">
        <v>260</v>
      </c>
      <c r="B421" s="37" t="s">
        <v>341</v>
      </c>
      <c r="C421" s="49" t="s">
        <v>342</v>
      </c>
      <c r="D421" s="39" t="s">
        <v>62</v>
      </c>
      <c r="E421" s="55">
        <v>0</v>
      </c>
      <c r="F421" s="43"/>
      <c r="G421" s="43">
        <f>E421*F421</f>
        <v>0</v>
      </c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  <c r="AB421" s="30"/>
      <c r="AC421" s="30"/>
      <c r="AD421" s="30"/>
      <c r="AE421" s="30"/>
      <c r="AF421" s="30"/>
      <c r="AG421" s="30"/>
      <c r="AH421" s="30"/>
      <c r="AI421" s="30"/>
      <c r="AJ421" s="30"/>
      <c r="AK421" s="30"/>
      <c r="AL421" s="30"/>
      <c r="AM421" s="30"/>
      <c r="AN421" s="30"/>
      <c r="AO421" s="30"/>
      <c r="AP421" s="30"/>
      <c r="AQ421" s="30"/>
    </row>
    <row r="422" spans="1:43" outlineLevel="1">
      <c r="A422" s="44"/>
      <c r="B422" s="37"/>
      <c r="C422" s="51" t="s">
        <v>61</v>
      </c>
      <c r="D422" s="41"/>
      <c r="E422" s="57"/>
      <c r="F422" s="43"/>
      <c r="G422" s="43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F422" s="30"/>
      <c r="AG422" s="30"/>
      <c r="AH422" s="30"/>
      <c r="AI422" s="30"/>
      <c r="AJ422" s="30"/>
      <c r="AK422" s="30"/>
      <c r="AL422" s="30"/>
      <c r="AM422" s="30"/>
      <c r="AN422" s="30"/>
      <c r="AO422" s="30"/>
      <c r="AP422" s="30"/>
      <c r="AQ422" s="30"/>
    </row>
    <row r="423" spans="1:43" outlineLevel="1">
      <c r="A423" s="44"/>
      <c r="B423" s="37"/>
      <c r="C423" s="51" t="s">
        <v>343</v>
      </c>
      <c r="D423" s="41"/>
      <c r="E423" s="57">
        <v>0</v>
      </c>
      <c r="F423" s="43"/>
      <c r="G423" s="43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  <c r="AB423" s="30"/>
      <c r="AC423" s="30"/>
      <c r="AD423" s="30"/>
      <c r="AE423" s="30"/>
      <c r="AF423" s="30"/>
      <c r="AG423" s="30"/>
      <c r="AH423" s="30"/>
      <c r="AI423" s="30"/>
      <c r="AJ423" s="30"/>
      <c r="AK423" s="30"/>
      <c r="AL423" s="30"/>
      <c r="AM423" s="30"/>
      <c r="AN423" s="30"/>
      <c r="AO423" s="30"/>
      <c r="AP423" s="30"/>
      <c r="AQ423" s="30"/>
    </row>
    <row r="424" spans="1:43" outlineLevel="1">
      <c r="A424" s="44">
        <v>261</v>
      </c>
      <c r="B424" s="37" t="s">
        <v>344</v>
      </c>
      <c r="C424" s="49" t="s">
        <v>345</v>
      </c>
      <c r="D424" s="39" t="s">
        <v>62</v>
      </c>
      <c r="E424" s="55">
        <v>0</v>
      </c>
      <c r="F424" s="43"/>
      <c r="G424" s="43">
        <f>E424*F424</f>
        <v>0</v>
      </c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  <c r="AB424" s="30"/>
      <c r="AC424" s="30"/>
      <c r="AD424" s="30"/>
      <c r="AE424" s="30"/>
      <c r="AF424" s="30"/>
      <c r="AG424" s="30"/>
      <c r="AH424" s="30"/>
      <c r="AI424" s="30"/>
      <c r="AJ424" s="30"/>
      <c r="AK424" s="30"/>
      <c r="AL424" s="30"/>
      <c r="AM424" s="30"/>
      <c r="AN424" s="30"/>
      <c r="AO424" s="30"/>
      <c r="AP424" s="30"/>
      <c r="AQ424" s="30"/>
    </row>
    <row r="425" spans="1:43" outlineLevel="1">
      <c r="A425" s="44"/>
      <c r="B425" s="37"/>
      <c r="C425" s="51" t="s">
        <v>346</v>
      </c>
      <c r="D425" s="41"/>
      <c r="E425" s="57">
        <v>0</v>
      </c>
      <c r="F425" s="43"/>
      <c r="G425" s="43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  <c r="AK425" s="30"/>
      <c r="AL425" s="30"/>
      <c r="AM425" s="30"/>
      <c r="AN425" s="30"/>
      <c r="AO425" s="30"/>
      <c r="AP425" s="30"/>
      <c r="AQ425" s="30"/>
    </row>
    <row r="426" spans="1:43" outlineLevel="1">
      <c r="A426" s="44">
        <v>262</v>
      </c>
      <c r="B426" s="37" t="s">
        <v>347</v>
      </c>
      <c r="C426" s="49" t="s">
        <v>348</v>
      </c>
      <c r="D426" s="39" t="s">
        <v>57</v>
      </c>
      <c r="E426" s="55">
        <v>6.68</v>
      </c>
      <c r="F426" s="43"/>
      <c r="G426" s="43">
        <f>E426*F426</f>
        <v>0</v>
      </c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  <c r="AB426" s="30"/>
      <c r="AC426" s="30"/>
      <c r="AD426" s="30"/>
      <c r="AE426" s="30"/>
      <c r="AF426" s="30"/>
      <c r="AG426" s="30"/>
      <c r="AH426" s="30"/>
      <c r="AI426" s="30"/>
      <c r="AJ426" s="30"/>
      <c r="AK426" s="30"/>
      <c r="AL426" s="30"/>
      <c r="AM426" s="30"/>
      <c r="AN426" s="30"/>
      <c r="AO426" s="30"/>
      <c r="AP426" s="30"/>
      <c r="AQ426" s="30"/>
    </row>
    <row r="427" spans="1:43" outlineLevel="1">
      <c r="A427" s="44"/>
      <c r="B427" s="37"/>
      <c r="C427" s="51" t="s">
        <v>154</v>
      </c>
      <c r="D427" s="41"/>
      <c r="E427" s="57">
        <v>6.68</v>
      </c>
      <c r="F427" s="43"/>
      <c r="G427" s="43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  <c r="AB427" s="30"/>
      <c r="AC427" s="30"/>
      <c r="AD427" s="30"/>
      <c r="AE427" s="30"/>
      <c r="AF427" s="30"/>
      <c r="AG427" s="30"/>
      <c r="AH427" s="30"/>
      <c r="AI427" s="30"/>
      <c r="AJ427" s="30"/>
      <c r="AK427" s="30"/>
      <c r="AL427" s="30"/>
      <c r="AM427" s="30"/>
      <c r="AN427" s="30"/>
      <c r="AO427" s="30"/>
      <c r="AP427" s="30"/>
      <c r="AQ427" s="30"/>
    </row>
    <row r="428" spans="1:43" outlineLevel="1">
      <c r="A428" s="44">
        <v>263</v>
      </c>
      <c r="B428" s="37" t="s">
        <v>349</v>
      </c>
      <c r="C428" s="49" t="s">
        <v>350</v>
      </c>
      <c r="D428" s="39" t="s">
        <v>62</v>
      </c>
      <c r="E428" s="55">
        <v>24.95</v>
      </c>
      <c r="F428" s="43"/>
      <c r="G428" s="43">
        <f>E428*F428</f>
        <v>0</v>
      </c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E428" s="30"/>
      <c r="AF428" s="30"/>
      <c r="AG428" s="30"/>
      <c r="AH428" s="30"/>
      <c r="AI428" s="30"/>
      <c r="AJ428" s="30"/>
      <c r="AK428" s="30"/>
      <c r="AL428" s="30"/>
      <c r="AM428" s="30"/>
      <c r="AN428" s="30"/>
      <c r="AO428" s="30"/>
      <c r="AP428" s="30"/>
      <c r="AQ428" s="30"/>
    </row>
    <row r="429" spans="1:43" outlineLevel="1">
      <c r="A429" s="44"/>
      <c r="B429" s="37"/>
      <c r="C429" s="51" t="s">
        <v>346</v>
      </c>
      <c r="D429" s="41"/>
      <c r="E429" s="57">
        <v>24.95</v>
      </c>
      <c r="F429" s="43"/>
      <c r="G429" s="43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  <c r="AK429" s="30"/>
      <c r="AL429" s="30"/>
      <c r="AM429" s="30"/>
      <c r="AN429" s="30"/>
      <c r="AO429" s="30"/>
      <c r="AP429" s="30"/>
      <c r="AQ429" s="30"/>
    </row>
    <row r="430" spans="1:43" outlineLevel="1">
      <c r="A430" s="44">
        <v>264</v>
      </c>
      <c r="B430" s="37" t="s">
        <v>351</v>
      </c>
      <c r="C430" s="49" t="s">
        <v>352</v>
      </c>
      <c r="D430" s="39" t="s">
        <v>57</v>
      </c>
      <c r="E430" s="55">
        <v>22.43</v>
      </c>
      <c r="F430" s="43"/>
      <c r="G430" s="43">
        <f>E430*F430</f>
        <v>0</v>
      </c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E430" s="30"/>
      <c r="AF430" s="30"/>
      <c r="AG430" s="30"/>
      <c r="AH430" s="30"/>
      <c r="AI430" s="30"/>
      <c r="AJ430" s="30"/>
      <c r="AK430" s="30"/>
      <c r="AL430" s="30"/>
      <c r="AM430" s="30"/>
      <c r="AN430" s="30"/>
      <c r="AO430" s="30"/>
      <c r="AP430" s="30"/>
      <c r="AQ430" s="30"/>
    </row>
    <row r="431" spans="1:43" outlineLevel="1">
      <c r="A431" s="44"/>
      <c r="B431" s="37"/>
      <c r="C431" s="51" t="s">
        <v>154</v>
      </c>
      <c r="D431" s="41"/>
      <c r="E431" s="57">
        <v>6.68</v>
      </c>
      <c r="F431" s="43"/>
      <c r="G431" s="43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  <c r="AK431" s="30"/>
      <c r="AL431" s="30"/>
      <c r="AM431" s="30"/>
      <c r="AN431" s="30"/>
      <c r="AO431" s="30"/>
      <c r="AP431" s="30"/>
      <c r="AQ431" s="30"/>
    </row>
    <row r="432" spans="1:43" outlineLevel="1">
      <c r="A432" s="44"/>
      <c r="B432" s="37"/>
      <c r="C432" s="51" t="s">
        <v>155</v>
      </c>
      <c r="D432" s="41"/>
      <c r="E432" s="57">
        <v>15.75</v>
      </c>
      <c r="F432" s="43"/>
      <c r="G432" s="43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F432" s="30"/>
      <c r="AG432" s="30"/>
      <c r="AH432" s="30"/>
      <c r="AI432" s="30"/>
      <c r="AJ432" s="30"/>
      <c r="AK432" s="30"/>
      <c r="AL432" s="30"/>
      <c r="AM432" s="30"/>
      <c r="AN432" s="30"/>
      <c r="AO432" s="30"/>
      <c r="AP432" s="30"/>
      <c r="AQ432" s="30"/>
    </row>
    <row r="433" spans="1:43" outlineLevel="1">
      <c r="A433" s="44">
        <v>265</v>
      </c>
      <c r="B433" s="37" t="s">
        <v>353</v>
      </c>
      <c r="C433" s="49" t="s">
        <v>354</v>
      </c>
      <c r="D433" s="39" t="s">
        <v>62</v>
      </c>
      <c r="E433" s="55">
        <v>4</v>
      </c>
      <c r="F433" s="43"/>
      <c r="G433" s="43">
        <f>E433*F433</f>
        <v>0</v>
      </c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  <c r="AF433" s="30"/>
      <c r="AG433" s="30"/>
      <c r="AH433" s="30"/>
      <c r="AI433" s="30"/>
      <c r="AJ433" s="30"/>
      <c r="AK433" s="30"/>
      <c r="AL433" s="30"/>
      <c r="AM433" s="30"/>
      <c r="AN433" s="30"/>
      <c r="AO433" s="30"/>
      <c r="AP433" s="30"/>
      <c r="AQ433" s="30"/>
    </row>
    <row r="434" spans="1:43" outlineLevel="1">
      <c r="A434" s="44"/>
      <c r="B434" s="37"/>
      <c r="C434" s="326" t="s">
        <v>355</v>
      </c>
      <c r="D434" s="383"/>
      <c r="E434" s="383"/>
      <c r="F434" s="383"/>
      <c r="G434" s="384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6" t="str">
        <f>C434</f>
        <v>dlaždice proti stečení vody v zrcadle schodiště.</v>
      </c>
      <c r="AK434" s="30"/>
      <c r="AL434" s="30"/>
      <c r="AM434" s="30"/>
      <c r="AN434" s="30"/>
      <c r="AO434" s="30"/>
      <c r="AP434" s="30"/>
      <c r="AQ434" s="30"/>
    </row>
    <row r="435" spans="1:43" outlineLevel="1">
      <c r="A435" s="44"/>
      <c r="B435" s="37"/>
      <c r="C435" s="51" t="s">
        <v>356</v>
      </c>
      <c r="D435" s="41"/>
      <c r="E435" s="57">
        <v>4</v>
      </c>
      <c r="F435" s="43"/>
      <c r="G435" s="43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F435" s="30"/>
      <c r="AG435" s="30"/>
      <c r="AH435" s="30"/>
      <c r="AI435" s="30"/>
      <c r="AJ435" s="30"/>
      <c r="AK435" s="30"/>
      <c r="AL435" s="30"/>
      <c r="AM435" s="30"/>
      <c r="AN435" s="30"/>
      <c r="AO435" s="30"/>
      <c r="AP435" s="30"/>
      <c r="AQ435" s="30"/>
    </row>
    <row r="436" spans="1:43" ht="22.5" outlineLevel="1">
      <c r="A436" s="44">
        <v>266</v>
      </c>
      <c r="B436" s="37" t="s">
        <v>357</v>
      </c>
      <c r="C436" s="49" t="s">
        <v>358</v>
      </c>
      <c r="D436" s="39" t="s">
        <v>151</v>
      </c>
      <c r="E436" s="55">
        <v>9.9677500000000006</v>
      </c>
      <c r="F436" s="43"/>
      <c r="G436" s="43">
        <f>E436*F436</f>
        <v>0</v>
      </c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  <c r="AK436" s="30"/>
      <c r="AL436" s="30"/>
      <c r="AM436" s="30"/>
      <c r="AN436" s="30"/>
      <c r="AO436" s="30"/>
      <c r="AP436" s="30"/>
      <c r="AQ436" s="30"/>
    </row>
    <row r="437" spans="1:43" outlineLevel="1">
      <c r="A437" s="44"/>
      <c r="B437" s="37"/>
      <c r="C437" s="51" t="s">
        <v>359</v>
      </c>
      <c r="D437" s="41"/>
      <c r="E437" s="57">
        <v>7.3479999999999999</v>
      </c>
      <c r="F437" s="43"/>
      <c r="G437" s="43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  <c r="AB437" s="30"/>
      <c r="AC437" s="30"/>
      <c r="AD437" s="30"/>
      <c r="AE437" s="30"/>
      <c r="AF437" s="30"/>
      <c r="AG437" s="30"/>
      <c r="AH437" s="30"/>
      <c r="AI437" s="30"/>
      <c r="AJ437" s="30"/>
      <c r="AK437" s="30"/>
      <c r="AL437" s="30"/>
      <c r="AM437" s="30"/>
      <c r="AN437" s="30"/>
      <c r="AO437" s="30"/>
      <c r="AP437" s="30"/>
      <c r="AQ437" s="30"/>
    </row>
    <row r="438" spans="1:43" outlineLevel="1">
      <c r="A438" s="44"/>
      <c r="B438" s="37"/>
      <c r="C438" s="51" t="s">
        <v>360</v>
      </c>
      <c r="D438" s="41"/>
      <c r="E438" s="57">
        <v>2.6198000000000001</v>
      </c>
      <c r="F438" s="43"/>
      <c r="G438" s="43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  <c r="AB438" s="30"/>
      <c r="AC438" s="30"/>
      <c r="AD438" s="30"/>
      <c r="AE438" s="30"/>
      <c r="AF438" s="30"/>
      <c r="AG438" s="30"/>
      <c r="AH438" s="30"/>
      <c r="AI438" s="30"/>
      <c r="AJ438" s="30"/>
      <c r="AK438" s="30"/>
      <c r="AL438" s="30"/>
      <c r="AM438" s="30"/>
      <c r="AN438" s="30"/>
      <c r="AO438" s="30"/>
      <c r="AP438" s="30"/>
      <c r="AQ438" s="30"/>
    </row>
    <row r="439" spans="1:43" ht="22.5" outlineLevel="1">
      <c r="A439" s="44">
        <v>267</v>
      </c>
      <c r="B439" s="37" t="s">
        <v>361</v>
      </c>
      <c r="C439" s="49" t="s">
        <v>362</v>
      </c>
      <c r="D439" s="39" t="s">
        <v>151</v>
      </c>
      <c r="E439" s="55">
        <v>17.324999999999999</v>
      </c>
      <c r="F439" s="43"/>
      <c r="G439" s="43">
        <f>E439*F439</f>
        <v>0</v>
      </c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  <c r="AK439" s="30"/>
      <c r="AL439" s="30"/>
      <c r="AM439" s="30"/>
      <c r="AN439" s="30"/>
      <c r="AO439" s="30"/>
      <c r="AP439" s="30"/>
      <c r="AQ439" s="30"/>
    </row>
    <row r="440" spans="1:43" outlineLevel="1">
      <c r="A440" s="44"/>
      <c r="B440" s="37"/>
      <c r="C440" s="51" t="s">
        <v>363</v>
      </c>
      <c r="D440" s="41"/>
      <c r="E440" s="57">
        <v>17.324999999999999</v>
      </c>
      <c r="F440" s="43"/>
      <c r="G440" s="43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  <c r="AB440" s="30"/>
      <c r="AC440" s="30"/>
      <c r="AD440" s="30"/>
      <c r="AE440" s="30"/>
      <c r="AF440" s="30"/>
      <c r="AG440" s="30"/>
      <c r="AH440" s="30"/>
      <c r="AI440" s="30"/>
      <c r="AJ440" s="30"/>
      <c r="AK440" s="30"/>
      <c r="AL440" s="30"/>
      <c r="AM440" s="30"/>
      <c r="AN440" s="30"/>
      <c r="AO440" s="30"/>
      <c r="AP440" s="30"/>
      <c r="AQ440" s="30"/>
    </row>
    <row r="441" spans="1:43" outlineLevel="1">
      <c r="A441" s="44">
        <v>268</v>
      </c>
      <c r="B441" s="37" t="s">
        <v>364</v>
      </c>
      <c r="C441" s="49" t="s">
        <v>365</v>
      </c>
      <c r="D441" s="39" t="s">
        <v>60</v>
      </c>
      <c r="E441" s="55">
        <v>0.94867999999999997</v>
      </c>
      <c r="F441" s="43"/>
      <c r="G441" s="43">
        <f>E441*F441</f>
        <v>0</v>
      </c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  <c r="AB441" s="30"/>
      <c r="AC441" s="30"/>
      <c r="AD441" s="30"/>
      <c r="AE441" s="30"/>
      <c r="AF441" s="30"/>
      <c r="AG441" s="30"/>
      <c r="AH441" s="30"/>
      <c r="AI441" s="30"/>
      <c r="AJ441" s="30"/>
      <c r="AK441" s="30"/>
      <c r="AL441" s="30"/>
      <c r="AM441" s="30"/>
      <c r="AN441" s="30"/>
      <c r="AO441" s="30"/>
      <c r="AP441" s="30"/>
      <c r="AQ441" s="30"/>
    </row>
    <row r="442" spans="1:43">
      <c r="A442" s="45" t="s">
        <v>49</v>
      </c>
      <c r="B442" s="38" t="s">
        <v>35</v>
      </c>
      <c r="C442" s="50" t="s">
        <v>36</v>
      </c>
      <c r="D442" s="40"/>
      <c r="E442" s="56"/>
      <c r="F442" s="330">
        <f>SUM(G443:G499)</f>
        <v>0</v>
      </c>
      <c r="G442" s="331"/>
    </row>
    <row r="443" spans="1:43" ht="22.5" outlineLevel="1">
      <c r="A443" s="44">
        <v>270</v>
      </c>
      <c r="B443" s="37" t="s">
        <v>366</v>
      </c>
      <c r="C443" s="49" t="s">
        <v>367</v>
      </c>
      <c r="D443" s="39" t="s">
        <v>57</v>
      </c>
      <c r="E443" s="55">
        <v>241.83</v>
      </c>
      <c r="F443" s="43"/>
      <c r="G443" s="43">
        <f>E443*F443</f>
        <v>0</v>
      </c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  <c r="AB443" s="30"/>
      <c r="AC443" s="30"/>
      <c r="AD443" s="30"/>
      <c r="AE443" s="30"/>
      <c r="AF443" s="30"/>
      <c r="AG443" s="30"/>
      <c r="AH443" s="30"/>
      <c r="AI443" s="30"/>
      <c r="AJ443" s="30"/>
      <c r="AK443" s="30"/>
      <c r="AL443" s="30"/>
      <c r="AM443" s="30"/>
      <c r="AN443" s="30"/>
      <c r="AO443" s="30"/>
      <c r="AP443" s="30"/>
      <c r="AQ443" s="30"/>
    </row>
    <row r="444" spans="1:43" outlineLevel="1">
      <c r="A444" s="44"/>
      <c r="B444" s="37"/>
      <c r="C444" s="51" t="s">
        <v>152</v>
      </c>
      <c r="D444" s="41"/>
      <c r="E444" s="57">
        <v>232.04</v>
      </c>
      <c r="F444" s="43"/>
      <c r="G444" s="43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E444" s="30"/>
      <c r="AF444" s="30"/>
      <c r="AG444" s="30"/>
      <c r="AH444" s="30"/>
      <c r="AI444" s="30"/>
      <c r="AJ444" s="30"/>
      <c r="AK444" s="30"/>
      <c r="AL444" s="30"/>
      <c r="AM444" s="30"/>
      <c r="AN444" s="30"/>
      <c r="AO444" s="30"/>
      <c r="AP444" s="30"/>
      <c r="AQ444" s="30"/>
    </row>
    <row r="445" spans="1:43" outlineLevel="1">
      <c r="A445" s="44"/>
      <c r="B445" s="37"/>
      <c r="C445" s="51" t="s">
        <v>153</v>
      </c>
      <c r="D445" s="41"/>
      <c r="E445" s="57">
        <v>9.7899999999999991</v>
      </c>
      <c r="F445" s="43"/>
      <c r="G445" s="43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  <c r="AK445" s="30"/>
      <c r="AL445" s="30"/>
      <c r="AM445" s="30"/>
      <c r="AN445" s="30"/>
      <c r="AO445" s="30"/>
      <c r="AP445" s="30"/>
      <c r="AQ445" s="30"/>
    </row>
    <row r="446" spans="1:43" outlineLevel="1">
      <c r="A446" s="44">
        <v>271</v>
      </c>
      <c r="B446" s="37" t="s">
        <v>368</v>
      </c>
      <c r="C446" s="49" t="s">
        <v>369</v>
      </c>
      <c r="D446" s="39" t="s">
        <v>57</v>
      </c>
      <c r="E446" s="55">
        <v>18.47</v>
      </c>
      <c r="F446" s="43"/>
      <c r="G446" s="43">
        <f>E446*F446</f>
        <v>0</v>
      </c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E446" s="30"/>
      <c r="AF446" s="30"/>
      <c r="AG446" s="30"/>
      <c r="AH446" s="30"/>
      <c r="AI446" s="30"/>
      <c r="AJ446" s="30"/>
      <c r="AK446" s="30"/>
      <c r="AL446" s="30"/>
      <c r="AM446" s="30"/>
      <c r="AN446" s="30"/>
      <c r="AO446" s="30"/>
      <c r="AP446" s="30"/>
      <c r="AQ446" s="30"/>
    </row>
    <row r="447" spans="1:43" outlineLevel="1">
      <c r="A447" s="44"/>
      <c r="B447" s="37"/>
      <c r="C447" s="51" t="s">
        <v>157</v>
      </c>
      <c r="D447" s="41"/>
      <c r="E447" s="57">
        <v>18.47</v>
      </c>
      <c r="F447" s="43"/>
      <c r="G447" s="43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  <c r="AB447" s="30"/>
      <c r="AC447" s="30"/>
      <c r="AD447" s="30"/>
      <c r="AE447" s="30"/>
      <c r="AF447" s="30"/>
      <c r="AG447" s="30"/>
      <c r="AH447" s="30"/>
      <c r="AI447" s="30"/>
      <c r="AJ447" s="30"/>
      <c r="AK447" s="30"/>
      <c r="AL447" s="30"/>
      <c r="AM447" s="30"/>
      <c r="AN447" s="30"/>
      <c r="AO447" s="30"/>
      <c r="AP447" s="30"/>
      <c r="AQ447" s="30"/>
    </row>
    <row r="448" spans="1:43" ht="22.5" outlineLevel="1">
      <c r="A448" s="44">
        <v>272</v>
      </c>
      <c r="B448" s="37" t="s">
        <v>370</v>
      </c>
      <c r="C448" s="49" t="s">
        <v>371</v>
      </c>
      <c r="D448" s="39" t="s">
        <v>57</v>
      </c>
      <c r="E448" s="55">
        <v>9.09</v>
      </c>
      <c r="F448" s="43"/>
      <c r="G448" s="43">
        <f>E448*F448</f>
        <v>0</v>
      </c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  <c r="AK448" s="30"/>
      <c r="AL448" s="30"/>
      <c r="AM448" s="30"/>
      <c r="AN448" s="30"/>
      <c r="AO448" s="30"/>
      <c r="AP448" s="30"/>
      <c r="AQ448" s="30"/>
    </row>
    <row r="449" spans="1:43" outlineLevel="1">
      <c r="A449" s="44"/>
      <c r="B449" s="37"/>
      <c r="C449" s="51" t="s">
        <v>156</v>
      </c>
      <c r="D449" s="41"/>
      <c r="E449" s="57">
        <v>9.09</v>
      </c>
      <c r="F449" s="43"/>
      <c r="G449" s="43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  <c r="AB449" s="30"/>
      <c r="AC449" s="30"/>
      <c r="AD449" s="30"/>
      <c r="AE449" s="30"/>
      <c r="AF449" s="30"/>
      <c r="AG449" s="30"/>
      <c r="AH449" s="30"/>
      <c r="AI449" s="30"/>
      <c r="AJ449" s="30"/>
      <c r="AK449" s="30"/>
      <c r="AL449" s="30"/>
      <c r="AM449" s="30"/>
      <c r="AN449" s="30"/>
      <c r="AO449" s="30"/>
      <c r="AP449" s="30"/>
      <c r="AQ449" s="30"/>
    </row>
    <row r="450" spans="1:43" ht="22.5" outlineLevel="1">
      <c r="A450" s="44">
        <v>273</v>
      </c>
      <c r="B450" s="37" t="s">
        <v>372</v>
      </c>
      <c r="C450" s="49" t="s">
        <v>373</v>
      </c>
      <c r="D450" s="39" t="s">
        <v>57</v>
      </c>
      <c r="E450" s="55">
        <v>2.6415000000000002</v>
      </c>
      <c r="F450" s="43"/>
      <c r="G450" s="43">
        <f>E450*F450</f>
        <v>0</v>
      </c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E450" s="30"/>
      <c r="AF450" s="30"/>
      <c r="AG450" s="30"/>
      <c r="AH450" s="30"/>
      <c r="AI450" s="30"/>
      <c r="AJ450" s="30"/>
      <c r="AK450" s="30"/>
      <c r="AL450" s="30"/>
      <c r="AM450" s="30"/>
      <c r="AN450" s="30"/>
      <c r="AO450" s="30"/>
      <c r="AP450" s="30"/>
      <c r="AQ450" s="30"/>
    </row>
    <row r="451" spans="1:43" outlineLevel="1">
      <c r="A451" s="44"/>
      <c r="B451" s="37"/>
      <c r="C451" s="51" t="s">
        <v>374</v>
      </c>
      <c r="D451" s="41"/>
      <c r="E451" s="57">
        <v>1.2015</v>
      </c>
      <c r="F451" s="43"/>
      <c r="G451" s="43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  <c r="AK451" s="30"/>
      <c r="AL451" s="30"/>
      <c r="AM451" s="30"/>
      <c r="AN451" s="30"/>
      <c r="AO451" s="30"/>
      <c r="AP451" s="30"/>
      <c r="AQ451" s="30"/>
    </row>
    <row r="452" spans="1:43" outlineLevel="1">
      <c r="A452" s="44"/>
      <c r="B452" s="37"/>
      <c r="C452" s="51" t="s">
        <v>375</v>
      </c>
      <c r="D452" s="41"/>
      <c r="E452" s="57">
        <v>1.44</v>
      </c>
      <c r="F452" s="43"/>
      <c r="G452" s="43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E452" s="30"/>
      <c r="AF452" s="30"/>
      <c r="AG452" s="30"/>
      <c r="AH452" s="30"/>
      <c r="AI452" s="30"/>
      <c r="AJ452" s="30"/>
      <c r="AK452" s="30"/>
      <c r="AL452" s="30"/>
      <c r="AM452" s="30"/>
      <c r="AN452" s="30"/>
      <c r="AO452" s="30"/>
      <c r="AP452" s="30"/>
      <c r="AQ452" s="30"/>
    </row>
    <row r="453" spans="1:43" ht="22.5" outlineLevel="1">
      <c r="A453" s="44">
        <v>274</v>
      </c>
      <c r="B453" s="37" t="s">
        <v>376</v>
      </c>
      <c r="C453" s="49" t="s">
        <v>377</v>
      </c>
      <c r="D453" s="39" t="s">
        <v>62</v>
      </c>
      <c r="E453" s="55">
        <v>260.3</v>
      </c>
      <c r="F453" s="43"/>
      <c r="G453" s="43">
        <f>E453*F453</f>
        <v>0</v>
      </c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  <c r="AB453" s="30"/>
      <c r="AC453" s="30"/>
      <c r="AD453" s="30"/>
      <c r="AE453" s="30"/>
      <c r="AF453" s="30"/>
      <c r="AG453" s="30"/>
      <c r="AH453" s="30"/>
      <c r="AI453" s="30"/>
      <c r="AJ453" s="30"/>
      <c r="AK453" s="30"/>
      <c r="AL453" s="30"/>
      <c r="AM453" s="30"/>
      <c r="AN453" s="30"/>
      <c r="AO453" s="30"/>
      <c r="AP453" s="30"/>
      <c r="AQ453" s="30"/>
    </row>
    <row r="454" spans="1:43" outlineLevel="1">
      <c r="A454" s="44"/>
      <c r="B454" s="37"/>
      <c r="C454" s="326" t="s">
        <v>378</v>
      </c>
      <c r="D454" s="383"/>
      <c r="E454" s="383"/>
      <c r="F454" s="383"/>
      <c r="G454" s="384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6" t="str">
        <f>C454</f>
        <v>bráno na 1 m2 - 1 bm svaru</v>
      </c>
      <c r="AK454" s="30"/>
      <c r="AL454" s="30"/>
      <c r="AM454" s="30"/>
      <c r="AN454" s="30"/>
      <c r="AO454" s="30"/>
      <c r="AP454" s="30"/>
      <c r="AQ454" s="30"/>
    </row>
    <row r="455" spans="1:43" outlineLevel="1">
      <c r="A455" s="44"/>
      <c r="B455" s="37"/>
      <c r="C455" s="51" t="s">
        <v>152</v>
      </c>
      <c r="D455" s="41"/>
      <c r="E455" s="57">
        <v>232.04</v>
      </c>
      <c r="F455" s="43"/>
      <c r="G455" s="43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F455" s="30"/>
      <c r="AG455" s="30"/>
      <c r="AH455" s="30"/>
      <c r="AI455" s="30"/>
      <c r="AJ455" s="30"/>
      <c r="AK455" s="30"/>
      <c r="AL455" s="30"/>
      <c r="AM455" s="30"/>
      <c r="AN455" s="30"/>
      <c r="AO455" s="30"/>
      <c r="AP455" s="30"/>
      <c r="AQ455" s="30"/>
    </row>
    <row r="456" spans="1:43" outlineLevel="1">
      <c r="A456" s="44"/>
      <c r="B456" s="37"/>
      <c r="C456" s="51" t="s">
        <v>157</v>
      </c>
      <c r="D456" s="41"/>
      <c r="E456" s="57">
        <v>18.47</v>
      </c>
      <c r="F456" s="43"/>
      <c r="G456" s="43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  <c r="AB456" s="30"/>
      <c r="AC456" s="30"/>
      <c r="AD456" s="30"/>
      <c r="AE456" s="30"/>
      <c r="AF456" s="30"/>
      <c r="AG456" s="30"/>
      <c r="AH456" s="30"/>
      <c r="AI456" s="30"/>
      <c r="AJ456" s="30"/>
      <c r="AK456" s="30"/>
      <c r="AL456" s="30"/>
      <c r="AM456" s="30"/>
      <c r="AN456" s="30"/>
      <c r="AO456" s="30"/>
      <c r="AP456" s="30"/>
      <c r="AQ456" s="30"/>
    </row>
    <row r="457" spans="1:43" outlineLevel="1">
      <c r="A457" s="44"/>
      <c r="B457" s="37"/>
      <c r="C457" s="51" t="s">
        <v>153</v>
      </c>
      <c r="D457" s="41"/>
      <c r="E457" s="57">
        <v>9.7899999999999991</v>
      </c>
      <c r="F457" s="43"/>
      <c r="G457" s="43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  <c r="AK457" s="30"/>
      <c r="AL457" s="30"/>
      <c r="AM457" s="30"/>
      <c r="AN457" s="30"/>
      <c r="AO457" s="30"/>
      <c r="AP457" s="30"/>
      <c r="AQ457" s="30"/>
    </row>
    <row r="458" spans="1:43" outlineLevel="1">
      <c r="A458" s="44">
        <v>275</v>
      </c>
      <c r="B458" s="37" t="s">
        <v>379</v>
      </c>
      <c r="C458" s="49" t="s">
        <v>380</v>
      </c>
      <c r="D458" s="39" t="s">
        <v>57</v>
      </c>
      <c r="E458" s="55">
        <v>264.26</v>
      </c>
      <c r="F458" s="43"/>
      <c r="G458" s="43">
        <f>E458*F458</f>
        <v>0</v>
      </c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  <c r="AB458" s="30"/>
      <c r="AC458" s="30"/>
      <c r="AD458" s="30"/>
      <c r="AE458" s="30"/>
      <c r="AF458" s="30"/>
      <c r="AG458" s="30"/>
      <c r="AH458" s="30"/>
      <c r="AI458" s="30"/>
      <c r="AJ458" s="30"/>
      <c r="AK458" s="30"/>
      <c r="AL458" s="30"/>
      <c r="AM458" s="30"/>
      <c r="AN458" s="30"/>
      <c r="AO458" s="30"/>
      <c r="AP458" s="30"/>
      <c r="AQ458" s="30"/>
    </row>
    <row r="459" spans="1:43" outlineLevel="1">
      <c r="A459" s="44"/>
      <c r="B459" s="37"/>
      <c r="C459" s="51" t="s">
        <v>381</v>
      </c>
      <c r="D459" s="41"/>
      <c r="E459" s="57">
        <v>236</v>
      </c>
      <c r="F459" s="43"/>
      <c r="G459" s="43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E459" s="30"/>
      <c r="AF459" s="30"/>
      <c r="AG459" s="30"/>
      <c r="AH459" s="30"/>
      <c r="AI459" s="30"/>
      <c r="AJ459" s="30"/>
      <c r="AK459" s="30"/>
      <c r="AL459" s="30"/>
      <c r="AM459" s="30"/>
      <c r="AN459" s="30"/>
      <c r="AO459" s="30"/>
      <c r="AP459" s="30"/>
      <c r="AQ459" s="30"/>
    </row>
    <row r="460" spans="1:43" outlineLevel="1">
      <c r="A460" s="44"/>
      <c r="B460" s="37"/>
      <c r="C460" s="51" t="s">
        <v>157</v>
      </c>
      <c r="D460" s="41"/>
      <c r="E460" s="57">
        <v>18.47</v>
      </c>
      <c r="F460" s="43"/>
      <c r="G460" s="43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  <c r="AB460" s="30"/>
      <c r="AC460" s="30"/>
      <c r="AD460" s="30"/>
      <c r="AE460" s="30"/>
      <c r="AF460" s="30"/>
      <c r="AG460" s="30"/>
      <c r="AH460" s="30"/>
      <c r="AI460" s="30"/>
      <c r="AJ460" s="30"/>
      <c r="AK460" s="30"/>
      <c r="AL460" s="30"/>
      <c r="AM460" s="30"/>
      <c r="AN460" s="30"/>
      <c r="AO460" s="30"/>
      <c r="AP460" s="30"/>
      <c r="AQ460" s="30"/>
    </row>
    <row r="461" spans="1:43" outlineLevel="1">
      <c r="A461" s="44"/>
      <c r="B461" s="37"/>
      <c r="C461" s="51" t="s">
        <v>153</v>
      </c>
      <c r="D461" s="41"/>
      <c r="E461" s="57">
        <v>9.7899999999999991</v>
      </c>
      <c r="F461" s="43"/>
      <c r="G461" s="43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  <c r="AK461" s="30"/>
      <c r="AL461" s="30"/>
      <c r="AM461" s="30"/>
      <c r="AN461" s="30"/>
      <c r="AO461" s="30"/>
      <c r="AP461" s="30"/>
      <c r="AQ461" s="30"/>
    </row>
    <row r="462" spans="1:43" ht="22.5" outlineLevel="1">
      <c r="A462" s="44">
        <v>276</v>
      </c>
      <c r="B462" s="37" t="s">
        <v>382</v>
      </c>
      <c r="C462" s="49" t="s">
        <v>383</v>
      </c>
      <c r="D462" s="39" t="s">
        <v>151</v>
      </c>
      <c r="E462" s="55">
        <v>270.64274999999998</v>
      </c>
      <c r="F462" s="43"/>
      <c r="G462" s="43">
        <f>E462*F462</f>
        <v>0</v>
      </c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E462" s="30"/>
      <c r="AF462" s="30"/>
      <c r="AG462" s="30"/>
      <c r="AH462" s="30"/>
      <c r="AI462" s="30"/>
      <c r="AJ462" s="30"/>
      <c r="AK462" s="30"/>
      <c r="AL462" s="30"/>
      <c r="AM462" s="30"/>
      <c r="AN462" s="30"/>
      <c r="AO462" s="30"/>
      <c r="AP462" s="30"/>
      <c r="AQ462" s="30"/>
    </row>
    <row r="463" spans="1:43" ht="12.75" customHeight="1" outlineLevel="1">
      <c r="A463" s="44"/>
      <c r="B463" s="37"/>
      <c r="C463" s="326" t="s">
        <v>384</v>
      </c>
      <c r="D463" s="383"/>
      <c r="E463" s="383"/>
      <c r="F463" s="383"/>
      <c r="G463" s="384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6" t="str">
        <f>C463</f>
        <v>Přesný popis viz skladby podlah a požadavek investora.</v>
      </c>
      <c r="AK463" s="30"/>
      <c r="AL463" s="30"/>
      <c r="AM463" s="30"/>
      <c r="AN463" s="30"/>
      <c r="AO463" s="30"/>
      <c r="AP463" s="30"/>
      <c r="AQ463" s="30"/>
    </row>
    <row r="464" spans="1:43" outlineLevel="1">
      <c r="A464" s="44"/>
      <c r="B464" s="37"/>
      <c r="C464" s="51" t="s">
        <v>229</v>
      </c>
      <c r="D464" s="41"/>
      <c r="E464" s="57">
        <v>243.642</v>
      </c>
      <c r="F464" s="43"/>
      <c r="G464" s="43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F464" s="30"/>
      <c r="AG464" s="30"/>
      <c r="AH464" s="30"/>
      <c r="AI464" s="30"/>
      <c r="AJ464" s="30"/>
      <c r="AK464" s="30"/>
      <c r="AL464" s="30"/>
      <c r="AM464" s="30"/>
      <c r="AN464" s="30"/>
      <c r="AO464" s="30"/>
      <c r="AP464" s="30"/>
      <c r="AQ464" s="30"/>
    </row>
    <row r="465" spans="1:43" outlineLevel="1">
      <c r="A465" s="44"/>
      <c r="B465" s="37"/>
      <c r="C465" s="51" t="s">
        <v>231</v>
      </c>
      <c r="D465" s="41"/>
      <c r="E465" s="57">
        <v>10.279500000000001</v>
      </c>
      <c r="F465" s="43"/>
      <c r="G465" s="43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  <c r="AB465" s="30"/>
      <c r="AC465" s="30"/>
      <c r="AD465" s="30"/>
      <c r="AE465" s="30"/>
      <c r="AF465" s="30"/>
      <c r="AG465" s="30"/>
      <c r="AH465" s="30"/>
      <c r="AI465" s="30"/>
      <c r="AJ465" s="30"/>
      <c r="AK465" s="30"/>
      <c r="AL465" s="30"/>
      <c r="AM465" s="30"/>
      <c r="AN465" s="30"/>
      <c r="AO465" s="30"/>
      <c r="AP465" s="30"/>
      <c r="AQ465" s="30"/>
    </row>
    <row r="466" spans="1:43" outlineLevel="1">
      <c r="A466" s="44"/>
      <c r="B466" s="37"/>
      <c r="C466" s="51" t="s">
        <v>385</v>
      </c>
      <c r="D466" s="41"/>
      <c r="E466" s="57"/>
      <c r="F466" s="43"/>
      <c r="G466" s="43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  <c r="AB466" s="30"/>
      <c r="AC466" s="30"/>
      <c r="AD466" s="30"/>
      <c r="AE466" s="30"/>
      <c r="AF466" s="30"/>
      <c r="AG466" s="30"/>
      <c r="AH466" s="30"/>
      <c r="AI466" s="30"/>
      <c r="AJ466" s="30"/>
      <c r="AK466" s="30"/>
      <c r="AL466" s="30"/>
      <c r="AM466" s="30"/>
      <c r="AN466" s="30"/>
      <c r="AO466" s="30"/>
      <c r="AP466" s="30"/>
      <c r="AQ466" s="30"/>
    </row>
    <row r="467" spans="1:43" outlineLevel="1">
      <c r="A467" s="44"/>
      <c r="B467" s="37"/>
      <c r="C467" s="51" t="s">
        <v>386</v>
      </c>
      <c r="D467" s="41"/>
      <c r="E467" s="57">
        <v>16.721299999999999</v>
      </c>
      <c r="F467" s="43"/>
      <c r="G467" s="43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E467" s="30"/>
      <c r="AF467" s="30"/>
      <c r="AG467" s="30"/>
      <c r="AH467" s="30"/>
      <c r="AI467" s="30"/>
      <c r="AJ467" s="30"/>
      <c r="AK467" s="30"/>
      <c r="AL467" s="30"/>
      <c r="AM467" s="30"/>
      <c r="AN467" s="30"/>
      <c r="AO467" s="30"/>
      <c r="AP467" s="30"/>
      <c r="AQ467" s="30"/>
    </row>
    <row r="468" spans="1:43" ht="22.5" outlineLevel="1">
      <c r="A468" s="44">
        <v>277</v>
      </c>
      <c r="B468" s="37" t="s">
        <v>387</v>
      </c>
      <c r="C468" s="49" t="s">
        <v>388</v>
      </c>
      <c r="D468" s="39" t="s">
        <v>151</v>
      </c>
      <c r="E468" s="55">
        <v>21.818999999999999</v>
      </c>
      <c r="F468" s="43"/>
      <c r="G468" s="43">
        <f>E468*F468</f>
        <v>0</v>
      </c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  <c r="AB468" s="30"/>
      <c r="AC468" s="30"/>
      <c r="AD468" s="30"/>
      <c r="AE468" s="30"/>
      <c r="AF468" s="30"/>
      <c r="AG468" s="30"/>
      <c r="AH468" s="30"/>
      <c r="AI468" s="30"/>
      <c r="AJ468" s="30"/>
      <c r="AK468" s="30"/>
      <c r="AL468" s="30"/>
      <c r="AM468" s="30"/>
      <c r="AN468" s="30"/>
      <c r="AO468" s="30"/>
      <c r="AP468" s="30"/>
      <c r="AQ468" s="30"/>
    </row>
    <row r="469" spans="1:43" ht="12.75" customHeight="1" outlineLevel="1">
      <c r="A469" s="44"/>
      <c r="B469" s="37"/>
      <c r="C469" s="326" t="s">
        <v>384</v>
      </c>
      <c r="D469" s="383"/>
      <c r="E469" s="383"/>
      <c r="F469" s="383"/>
      <c r="G469" s="384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E469" s="30"/>
      <c r="AF469" s="30"/>
      <c r="AG469" s="30"/>
      <c r="AH469" s="30"/>
      <c r="AI469" s="30"/>
      <c r="AJ469" s="36" t="str">
        <f>C469</f>
        <v>Přesný popis viz skladby podlah a požadavek investora.</v>
      </c>
      <c r="AK469" s="30"/>
      <c r="AL469" s="30"/>
      <c r="AM469" s="30"/>
      <c r="AN469" s="30"/>
      <c r="AO469" s="30"/>
      <c r="AP469" s="30"/>
      <c r="AQ469" s="30"/>
    </row>
    <row r="470" spans="1:43" outlineLevel="1">
      <c r="A470" s="44"/>
      <c r="B470" s="37"/>
      <c r="C470" s="51" t="s">
        <v>230</v>
      </c>
      <c r="D470" s="41"/>
      <c r="E470" s="57">
        <v>19.3935</v>
      </c>
      <c r="F470" s="43"/>
      <c r="G470" s="43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  <c r="AB470" s="30"/>
      <c r="AC470" s="30"/>
      <c r="AD470" s="30"/>
      <c r="AE470" s="30"/>
      <c r="AF470" s="30"/>
      <c r="AG470" s="30"/>
      <c r="AH470" s="30"/>
      <c r="AI470" s="30"/>
      <c r="AJ470" s="30"/>
      <c r="AK470" s="30"/>
      <c r="AL470" s="30"/>
      <c r="AM470" s="30"/>
      <c r="AN470" s="30"/>
      <c r="AO470" s="30"/>
      <c r="AP470" s="30"/>
      <c r="AQ470" s="30"/>
    </row>
    <row r="471" spans="1:43" outlineLevel="1">
      <c r="A471" s="44"/>
      <c r="B471" s="37"/>
      <c r="C471" s="51" t="s">
        <v>385</v>
      </c>
      <c r="D471" s="41"/>
      <c r="E471" s="57"/>
      <c r="F471" s="43"/>
      <c r="G471" s="43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  <c r="AB471" s="30"/>
      <c r="AC471" s="30"/>
      <c r="AD471" s="30"/>
      <c r="AE471" s="30"/>
      <c r="AF471" s="30"/>
      <c r="AG471" s="30"/>
      <c r="AH471" s="30"/>
      <c r="AI471" s="30"/>
      <c r="AJ471" s="30"/>
      <c r="AK471" s="30"/>
      <c r="AL471" s="30"/>
      <c r="AM471" s="30"/>
      <c r="AN471" s="30"/>
      <c r="AO471" s="30"/>
      <c r="AP471" s="30"/>
      <c r="AQ471" s="30"/>
    </row>
    <row r="472" spans="1:43" outlineLevel="1">
      <c r="A472" s="44"/>
      <c r="B472" s="37"/>
      <c r="C472" s="51" t="s">
        <v>389</v>
      </c>
      <c r="D472" s="41"/>
      <c r="E472" s="57">
        <v>2.4255</v>
      </c>
      <c r="F472" s="43"/>
      <c r="G472" s="43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E472" s="30"/>
      <c r="AF472" s="30"/>
      <c r="AG472" s="30"/>
      <c r="AH472" s="30"/>
      <c r="AI472" s="30"/>
      <c r="AJ472" s="30"/>
      <c r="AK472" s="30"/>
      <c r="AL472" s="30"/>
      <c r="AM472" s="30"/>
      <c r="AN472" s="30"/>
      <c r="AO472" s="30"/>
      <c r="AP472" s="30"/>
      <c r="AQ472" s="30"/>
    </row>
    <row r="473" spans="1:43" ht="22.5" outlineLevel="1">
      <c r="A473" s="44">
        <v>278</v>
      </c>
      <c r="B473" s="37" t="s">
        <v>390</v>
      </c>
      <c r="C473" s="49" t="s">
        <v>391</v>
      </c>
      <c r="D473" s="39" t="s">
        <v>392</v>
      </c>
      <c r="E473" s="55">
        <v>144</v>
      </c>
      <c r="F473" s="43"/>
      <c r="G473" s="43">
        <f>E473*F473</f>
        <v>0</v>
      </c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E473" s="30"/>
      <c r="AF473" s="30"/>
      <c r="AG473" s="30"/>
      <c r="AH473" s="30"/>
      <c r="AI473" s="30"/>
      <c r="AJ473" s="30"/>
      <c r="AK473" s="30"/>
      <c r="AL473" s="30"/>
      <c r="AM473" s="30"/>
      <c r="AN473" s="30"/>
      <c r="AO473" s="30"/>
      <c r="AP473" s="30"/>
      <c r="AQ473" s="30"/>
    </row>
    <row r="474" spans="1:43" outlineLevel="1">
      <c r="A474" s="44"/>
      <c r="B474" s="37"/>
      <c r="C474" s="326" t="s">
        <v>393</v>
      </c>
      <c r="D474" s="383"/>
      <c r="E474" s="383"/>
      <c r="F474" s="383"/>
      <c r="G474" s="384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F474" s="30"/>
      <c r="AG474" s="30"/>
      <c r="AH474" s="30"/>
      <c r="AI474" s="30"/>
      <c r="AJ474" s="36" t="str">
        <f>C474</f>
        <v>Ukončení čepcovým těsněním,penetrace podkladu.</v>
      </c>
      <c r="AK474" s="30"/>
      <c r="AL474" s="30"/>
      <c r="AM474" s="30"/>
      <c r="AN474" s="30"/>
      <c r="AO474" s="30"/>
      <c r="AP474" s="30"/>
      <c r="AQ474" s="30"/>
    </row>
    <row r="475" spans="1:43" outlineLevel="1">
      <c r="A475" s="44"/>
      <c r="B475" s="37"/>
      <c r="C475" s="51" t="s">
        <v>394</v>
      </c>
      <c r="D475" s="41"/>
      <c r="E475" s="57"/>
      <c r="F475" s="43"/>
      <c r="G475" s="43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E475" s="30"/>
      <c r="AF475" s="30"/>
      <c r="AG475" s="30"/>
      <c r="AH475" s="30"/>
      <c r="AI475" s="30"/>
      <c r="AJ475" s="30"/>
      <c r="AK475" s="30"/>
      <c r="AL475" s="30"/>
      <c r="AM475" s="30"/>
      <c r="AN475" s="30"/>
      <c r="AO475" s="30"/>
      <c r="AP475" s="30"/>
      <c r="AQ475" s="30"/>
    </row>
    <row r="476" spans="1:43" outlineLevel="1">
      <c r="A476" s="44"/>
      <c r="B476" s="37"/>
      <c r="C476" s="51" t="s">
        <v>395</v>
      </c>
      <c r="D476" s="41"/>
      <c r="E476" s="57"/>
      <c r="F476" s="43"/>
      <c r="G476" s="43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E476" s="30"/>
      <c r="AF476" s="30"/>
      <c r="AG476" s="30"/>
      <c r="AH476" s="30"/>
      <c r="AI476" s="30"/>
      <c r="AJ476" s="30"/>
      <c r="AK476" s="30"/>
      <c r="AL476" s="30"/>
      <c r="AM476" s="30"/>
      <c r="AN476" s="30"/>
      <c r="AO476" s="30"/>
      <c r="AP476" s="30"/>
      <c r="AQ476" s="30"/>
    </row>
    <row r="477" spans="1:43" outlineLevel="1">
      <c r="A477" s="44"/>
      <c r="B477" s="37"/>
      <c r="C477" s="51" t="s">
        <v>396</v>
      </c>
      <c r="D477" s="41"/>
      <c r="E477" s="57"/>
      <c r="F477" s="43"/>
      <c r="G477" s="43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  <c r="AB477" s="30"/>
      <c r="AC477" s="30"/>
      <c r="AD477" s="30"/>
      <c r="AE477" s="30"/>
      <c r="AF477" s="30"/>
      <c r="AG477" s="30"/>
      <c r="AH477" s="30"/>
      <c r="AI477" s="30"/>
      <c r="AJ477" s="30"/>
      <c r="AK477" s="30"/>
      <c r="AL477" s="30"/>
      <c r="AM477" s="30"/>
      <c r="AN477" s="30"/>
      <c r="AO477" s="30"/>
      <c r="AP477" s="30"/>
      <c r="AQ477" s="30"/>
    </row>
    <row r="478" spans="1:43" outlineLevel="1">
      <c r="A478" s="44"/>
      <c r="B478" s="37"/>
      <c r="C478" s="51" t="s">
        <v>397</v>
      </c>
      <c r="D478" s="41"/>
      <c r="E478" s="57">
        <v>5</v>
      </c>
      <c r="F478" s="43"/>
      <c r="G478" s="43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E478" s="30"/>
      <c r="AF478" s="30"/>
      <c r="AG478" s="30"/>
      <c r="AH478" s="30"/>
      <c r="AI478" s="30"/>
      <c r="AJ478" s="30"/>
      <c r="AK478" s="30"/>
      <c r="AL478" s="30"/>
      <c r="AM478" s="30"/>
      <c r="AN478" s="30"/>
      <c r="AO478" s="30"/>
      <c r="AP478" s="30"/>
      <c r="AQ478" s="30"/>
    </row>
    <row r="479" spans="1:43" outlineLevel="1">
      <c r="A479" s="44"/>
      <c r="B479" s="37"/>
      <c r="C479" s="51" t="s">
        <v>398</v>
      </c>
      <c r="D479" s="41"/>
      <c r="E479" s="57">
        <v>7.5</v>
      </c>
      <c r="F479" s="43"/>
      <c r="G479" s="43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  <c r="AB479" s="30"/>
      <c r="AC479" s="30"/>
      <c r="AD479" s="30"/>
      <c r="AE479" s="30"/>
      <c r="AF479" s="30"/>
      <c r="AG479" s="30"/>
      <c r="AH479" s="30"/>
      <c r="AI479" s="30"/>
      <c r="AJ479" s="30"/>
      <c r="AK479" s="30"/>
      <c r="AL479" s="30"/>
      <c r="AM479" s="30"/>
      <c r="AN479" s="30"/>
      <c r="AO479" s="30"/>
      <c r="AP479" s="30"/>
      <c r="AQ479" s="30"/>
    </row>
    <row r="480" spans="1:43" outlineLevel="1">
      <c r="A480" s="44"/>
      <c r="B480" s="37"/>
      <c r="C480" s="51" t="s">
        <v>399</v>
      </c>
      <c r="D480" s="41"/>
      <c r="E480" s="57">
        <v>6.3</v>
      </c>
      <c r="F480" s="43"/>
      <c r="G480" s="43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E480" s="30"/>
      <c r="AF480" s="30"/>
      <c r="AG480" s="30"/>
      <c r="AH480" s="30"/>
      <c r="AI480" s="30"/>
      <c r="AJ480" s="30"/>
      <c r="AK480" s="30"/>
      <c r="AL480" s="30"/>
      <c r="AM480" s="30"/>
      <c r="AN480" s="30"/>
      <c r="AO480" s="30"/>
      <c r="AP480" s="30"/>
      <c r="AQ480" s="30"/>
    </row>
    <row r="481" spans="1:43" outlineLevel="1">
      <c r="A481" s="44"/>
      <c r="B481" s="37"/>
      <c r="C481" s="51" t="s">
        <v>400</v>
      </c>
      <c r="D481" s="41"/>
      <c r="E481" s="57">
        <v>6.5</v>
      </c>
      <c r="F481" s="43"/>
      <c r="G481" s="43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  <c r="AB481" s="30"/>
      <c r="AC481" s="30"/>
      <c r="AD481" s="30"/>
      <c r="AE481" s="30"/>
      <c r="AF481" s="30"/>
      <c r="AG481" s="30"/>
      <c r="AH481" s="30"/>
      <c r="AI481" s="30"/>
      <c r="AJ481" s="30"/>
      <c r="AK481" s="30"/>
      <c r="AL481" s="30"/>
      <c r="AM481" s="30"/>
      <c r="AN481" s="30"/>
      <c r="AO481" s="30"/>
      <c r="AP481" s="30"/>
      <c r="AQ481" s="30"/>
    </row>
    <row r="482" spans="1:43" outlineLevel="1">
      <c r="A482" s="44"/>
      <c r="B482" s="37"/>
      <c r="C482" s="51" t="s">
        <v>401</v>
      </c>
      <c r="D482" s="41"/>
      <c r="E482" s="57">
        <v>3.7</v>
      </c>
      <c r="F482" s="43"/>
      <c r="G482" s="43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E482" s="30"/>
      <c r="AF482" s="30"/>
      <c r="AG482" s="30"/>
      <c r="AH482" s="30"/>
      <c r="AI482" s="30"/>
      <c r="AJ482" s="30"/>
      <c r="AK482" s="30"/>
      <c r="AL482" s="30"/>
      <c r="AM482" s="30"/>
      <c r="AN482" s="30"/>
      <c r="AO482" s="30"/>
      <c r="AP482" s="30"/>
      <c r="AQ482" s="30"/>
    </row>
    <row r="483" spans="1:43" outlineLevel="1">
      <c r="A483" s="44"/>
      <c r="B483" s="37"/>
      <c r="C483" s="51" t="s">
        <v>402</v>
      </c>
      <c r="D483" s="41"/>
      <c r="E483" s="57">
        <v>7.4</v>
      </c>
      <c r="F483" s="43"/>
      <c r="G483" s="43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  <c r="AB483" s="30"/>
      <c r="AC483" s="30"/>
      <c r="AD483" s="30"/>
      <c r="AE483" s="30"/>
      <c r="AF483" s="30"/>
      <c r="AG483" s="30"/>
      <c r="AH483" s="30"/>
      <c r="AI483" s="30"/>
      <c r="AJ483" s="30"/>
      <c r="AK483" s="30"/>
      <c r="AL483" s="30"/>
      <c r="AM483" s="30"/>
      <c r="AN483" s="30"/>
      <c r="AO483" s="30"/>
      <c r="AP483" s="30"/>
      <c r="AQ483" s="30"/>
    </row>
    <row r="484" spans="1:43" outlineLevel="1">
      <c r="A484" s="44"/>
      <c r="B484" s="37"/>
      <c r="C484" s="51" t="s">
        <v>403</v>
      </c>
      <c r="D484" s="41"/>
      <c r="E484" s="57">
        <v>36</v>
      </c>
      <c r="F484" s="43"/>
      <c r="G484" s="43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  <c r="AB484" s="30"/>
      <c r="AC484" s="30"/>
      <c r="AD484" s="30"/>
      <c r="AE484" s="30"/>
      <c r="AF484" s="30"/>
      <c r="AG484" s="30"/>
      <c r="AH484" s="30"/>
      <c r="AI484" s="30"/>
      <c r="AJ484" s="30"/>
      <c r="AK484" s="30"/>
      <c r="AL484" s="30"/>
      <c r="AM484" s="30"/>
      <c r="AN484" s="30"/>
      <c r="AO484" s="30"/>
      <c r="AP484" s="30"/>
      <c r="AQ484" s="30"/>
    </row>
    <row r="485" spans="1:43" outlineLevel="1">
      <c r="A485" s="44"/>
      <c r="B485" s="37"/>
      <c r="C485" s="51" t="s">
        <v>404</v>
      </c>
      <c r="D485" s="41"/>
      <c r="E485" s="57">
        <v>29.2</v>
      </c>
      <c r="F485" s="43"/>
      <c r="G485" s="43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E485" s="30"/>
      <c r="AF485" s="30"/>
      <c r="AG485" s="30"/>
      <c r="AH485" s="30"/>
      <c r="AI485" s="30"/>
      <c r="AJ485" s="30"/>
      <c r="AK485" s="30"/>
      <c r="AL485" s="30"/>
      <c r="AM485" s="30"/>
      <c r="AN485" s="30"/>
      <c r="AO485" s="30"/>
      <c r="AP485" s="30"/>
      <c r="AQ485" s="30"/>
    </row>
    <row r="486" spans="1:43" outlineLevel="1">
      <c r="A486" s="44"/>
      <c r="B486" s="37"/>
      <c r="C486" s="51" t="s">
        <v>405</v>
      </c>
      <c r="D486" s="41"/>
      <c r="E486" s="57">
        <v>23.6</v>
      </c>
      <c r="F486" s="43"/>
      <c r="G486" s="43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  <c r="AE486" s="30"/>
      <c r="AF486" s="30"/>
      <c r="AG486" s="30"/>
      <c r="AH486" s="30"/>
      <c r="AI486" s="30"/>
      <c r="AJ486" s="30"/>
      <c r="AK486" s="30"/>
      <c r="AL486" s="30"/>
      <c r="AM486" s="30"/>
      <c r="AN486" s="30"/>
      <c r="AO486" s="30"/>
      <c r="AP486" s="30"/>
      <c r="AQ486" s="30"/>
    </row>
    <row r="487" spans="1:43" outlineLevel="1">
      <c r="A487" s="44"/>
      <c r="B487" s="37"/>
      <c r="C487" s="51" t="s">
        <v>406</v>
      </c>
      <c r="D487" s="41"/>
      <c r="E487" s="57">
        <v>8.4</v>
      </c>
      <c r="F487" s="43"/>
      <c r="G487" s="43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  <c r="AB487" s="30"/>
      <c r="AC487" s="30"/>
      <c r="AD487" s="30"/>
      <c r="AE487" s="30"/>
      <c r="AF487" s="30"/>
      <c r="AG487" s="30"/>
      <c r="AH487" s="30"/>
      <c r="AI487" s="30"/>
      <c r="AJ487" s="30"/>
      <c r="AK487" s="30"/>
      <c r="AL487" s="30"/>
      <c r="AM487" s="30"/>
      <c r="AN487" s="30"/>
      <c r="AO487" s="30"/>
      <c r="AP487" s="30"/>
      <c r="AQ487" s="30"/>
    </row>
    <row r="488" spans="1:43" outlineLevel="1">
      <c r="A488" s="44"/>
      <c r="B488" s="37"/>
      <c r="C488" s="51" t="s">
        <v>407</v>
      </c>
      <c r="D488" s="41"/>
      <c r="E488" s="57">
        <v>10.4</v>
      </c>
      <c r="F488" s="43"/>
      <c r="G488" s="43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  <c r="AB488" s="30"/>
      <c r="AC488" s="30"/>
      <c r="AD488" s="30"/>
      <c r="AE488" s="30"/>
      <c r="AF488" s="30"/>
      <c r="AG488" s="30"/>
      <c r="AH488" s="30"/>
      <c r="AI488" s="30"/>
      <c r="AJ488" s="30"/>
      <c r="AK488" s="30"/>
      <c r="AL488" s="30"/>
      <c r="AM488" s="30"/>
      <c r="AN488" s="30"/>
      <c r="AO488" s="30"/>
      <c r="AP488" s="30"/>
      <c r="AQ488" s="30"/>
    </row>
    <row r="489" spans="1:43" outlineLevel="1">
      <c r="A489" s="44"/>
      <c r="B489" s="37"/>
      <c r="C489" s="51" t="s">
        <v>61</v>
      </c>
      <c r="D489" s="41"/>
      <c r="E489" s="57"/>
      <c r="F489" s="43"/>
      <c r="G489" s="43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  <c r="AB489" s="30"/>
      <c r="AC489" s="30"/>
      <c r="AD489" s="30"/>
      <c r="AE489" s="30"/>
      <c r="AF489" s="30"/>
      <c r="AG489" s="30"/>
      <c r="AH489" s="30"/>
      <c r="AI489" s="30"/>
      <c r="AJ489" s="30"/>
      <c r="AK489" s="30"/>
      <c r="AL489" s="30"/>
      <c r="AM489" s="30"/>
      <c r="AN489" s="30"/>
      <c r="AO489" s="30"/>
      <c r="AP489" s="30"/>
      <c r="AQ489" s="30"/>
    </row>
    <row r="490" spans="1:43" outlineLevel="1">
      <c r="A490" s="44"/>
      <c r="B490" s="37"/>
      <c r="C490" s="51" t="s">
        <v>408</v>
      </c>
      <c r="D490" s="41"/>
      <c r="E490" s="57">
        <v>0</v>
      </c>
      <c r="F490" s="43"/>
      <c r="G490" s="43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  <c r="AB490" s="30"/>
      <c r="AC490" s="30"/>
      <c r="AD490" s="30"/>
      <c r="AE490" s="30"/>
      <c r="AF490" s="30"/>
      <c r="AG490" s="30"/>
      <c r="AH490" s="30"/>
      <c r="AI490" s="30"/>
      <c r="AJ490" s="30"/>
      <c r="AK490" s="30"/>
      <c r="AL490" s="30"/>
      <c r="AM490" s="30"/>
      <c r="AN490" s="30"/>
      <c r="AO490" s="30"/>
      <c r="AP490" s="30"/>
      <c r="AQ490" s="30"/>
    </row>
    <row r="491" spans="1:43" outlineLevel="1">
      <c r="A491" s="44"/>
      <c r="B491" s="37"/>
      <c r="C491" s="51" t="s">
        <v>409</v>
      </c>
      <c r="D491" s="41"/>
      <c r="E491" s="57">
        <v>0</v>
      </c>
      <c r="F491" s="43"/>
      <c r="G491" s="43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  <c r="AB491" s="30"/>
      <c r="AC491" s="30"/>
      <c r="AD491" s="30"/>
      <c r="AE491" s="30"/>
      <c r="AF491" s="30"/>
      <c r="AG491" s="30"/>
      <c r="AH491" s="30"/>
      <c r="AI491" s="30"/>
      <c r="AJ491" s="30"/>
      <c r="AK491" s="30"/>
      <c r="AL491" s="30"/>
      <c r="AM491" s="30"/>
      <c r="AN491" s="30"/>
      <c r="AO491" s="30"/>
      <c r="AP491" s="30"/>
      <c r="AQ491" s="30"/>
    </row>
    <row r="492" spans="1:43" ht="22.5" outlineLevel="1">
      <c r="A492" s="44">
        <v>279</v>
      </c>
      <c r="B492" s="37" t="s">
        <v>410</v>
      </c>
      <c r="C492" s="49" t="s">
        <v>411</v>
      </c>
      <c r="D492" s="39" t="s">
        <v>392</v>
      </c>
      <c r="E492" s="55">
        <v>23.1</v>
      </c>
      <c r="F492" s="43"/>
      <c r="G492" s="43">
        <f>E492*F492</f>
        <v>0</v>
      </c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F492" s="30"/>
      <c r="AG492" s="30"/>
      <c r="AH492" s="30"/>
      <c r="AI492" s="30"/>
      <c r="AJ492" s="30"/>
      <c r="AK492" s="30"/>
      <c r="AL492" s="30"/>
      <c r="AM492" s="30"/>
      <c r="AN492" s="30"/>
      <c r="AO492" s="30"/>
      <c r="AP492" s="30"/>
      <c r="AQ492" s="30"/>
    </row>
    <row r="493" spans="1:43" outlineLevel="1">
      <c r="A493" s="44"/>
      <c r="B493" s="37"/>
      <c r="C493" s="326" t="s">
        <v>393</v>
      </c>
      <c r="D493" s="383"/>
      <c r="E493" s="383"/>
      <c r="F493" s="383"/>
      <c r="G493" s="384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  <c r="AB493" s="30"/>
      <c r="AC493" s="30"/>
      <c r="AD493" s="30"/>
      <c r="AE493" s="30"/>
      <c r="AF493" s="30"/>
      <c r="AG493" s="30"/>
      <c r="AH493" s="30"/>
      <c r="AI493" s="30"/>
      <c r="AJ493" s="36" t="str">
        <f>C493</f>
        <v>Ukončení čepcovým těsněním,penetrace podkladu.</v>
      </c>
      <c r="AK493" s="30"/>
      <c r="AL493" s="30"/>
      <c r="AM493" s="30"/>
      <c r="AN493" s="30"/>
      <c r="AO493" s="30"/>
      <c r="AP493" s="30"/>
      <c r="AQ493" s="30"/>
    </row>
    <row r="494" spans="1:43" outlineLevel="1">
      <c r="A494" s="44"/>
      <c r="B494" s="37"/>
      <c r="C494" s="51" t="s">
        <v>412</v>
      </c>
      <c r="D494" s="41"/>
      <c r="E494" s="57"/>
      <c r="F494" s="43"/>
      <c r="G494" s="43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  <c r="AB494" s="30"/>
      <c r="AC494" s="30"/>
      <c r="AD494" s="30"/>
      <c r="AE494" s="30"/>
      <c r="AF494" s="30"/>
      <c r="AG494" s="30"/>
      <c r="AH494" s="30"/>
      <c r="AI494" s="30"/>
      <c r="AJ494" s="30"/>
      <c r="AK494" s="30"/>
      <c r="AL494" s="30"/>
      <c r="AM494" s="30"/>
      <c r="AN494" s="30"/>
      <c r="AO494" s="30"/>
      <c r="AP494" s="30"/>
      <c r="AQ494" s="30"/>
    </row>
    <row r="495" spans="1:43" outlineLevel="1">
      <c r="A495" s="44"/>
      <c r="B495" s="37"/>
      <c r="C495" s="51" t="s">
        <v>413</v>
      </c>
      <c r="D495" s="41"/>
      <c r="E495" s="57">
        <v>12.1</v>
      </c>
      <c r="F495" s="43"/>
      <c r="G495" s="43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  <c r="AB495" s="30"/>
      <c r="AC495" s="30"/>
      <c r="AD495" s="30"/>
      <c r="AE495" s="30"/>
      <c r="AF495" s="30"/>
      <c r="AG495" s="30"/>
      <c r="AH495" s="30"/>
      <c r="AI495" s="30"/>
      <c r="AJ495" s="30"/>
      <c r="AK495" s="30"/>
      <c r="AL495" s="30"/>
      <c r="AM495" s="30"/>
      <c r="AN495" s="30"/>
      <c r="AO495" s="30"/>
      <c r="AP495" s="30"/>
      <c r="AQ495" s="30"/>
    </row>
    <row r="496" spans="1:43" outlineLevel="1">
      <c r="A496" s="44"/>
      <c r="B496" s="37"/>
      <c r="C496" s="51" t="s">
        <v>414</v>
      </c>
      <c r="D496" s="41"/>
      <c r="E496" s="57">
        <v>11</v>
      </c>
      <c r="F496" s="43"/>
      <c r="G496" s="43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  <c r="AB496" s="30"/>
      <c r="AC496" s="30"/>
      <c r="AD496" s="30"/>
      <c r="AE496" s="30"/>
      <c r="AF496" s="30"/>
      <c r="AG496" s="30"/>
      <c r="AH496" s="30"/>
      <c r="AI496" s="30"/>
      <c r="AJ496" s="30"/>
      <c r="AK496" s="30"/>
      <c r="AL496" s="30"/>
      <c r="AM496" s="30"/>
      <c r="AN496" s="30"/>
      <c r="AO496" s="30"/>
      <c r="AP496" s="30"/>
      <c r="AQ496" s="30"/>
    </row>
    <row r="497" spans="1:43" ht="22.5" outlineLevel="1">
      <c r="A497" s="44">
        <v>280</v>
      </c>
      <c r="B497" s="37" t="s">
        <v>415</v>
      </c>
      <c r="C497" s="49" t="s">
        <v>416</v>
      </c>
      <c r="D497" s="39" t="s">
        <v>151</v>
      </c>
      <c r="E497" s="55">
        <v>18.47</v>
      </c>
      <c r="F497" s="43"/>
      <c r="G497" s="43">
        <f>E497*F497</f>
        <v>0</v>
      </c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  <c r="AB497" s="30"/>
      <c r="AC497" s="30"/>
      <c r="AD497" s="30"/>
      <c r="AE497" s="30"/>
      <c r="AF497" s="30"/>
      <c r="AG497" s="30"/>
      <c r="AH497" s="30"/>
      <c r="AI497" s="30"/>
      <c r="AJ497" s="30"/>
      <c r="AK497" s="30"/>
      <c r="AL497" s="30"/>
      <c r="AM497" s="30"/>
      <c r="AN497" s="30"/>
      <c r="AO497" s="30"/>
      <c r="AP497" s="30"/>
      <c r="AQ497" s="30"/>
    </row>
    <row r="498" spans="1:43" outlineLevel="1">
      <c r="A498" s="44"/>
      <c r="B498" s="37"/>
      <c r="C498" s="51" t="s">
        <v>157</v>
      </c>
      <c r="D498" s="41"/>
      <c r="E498" s="57">
        <v>18.47</v>
      </c>
      <c r="F498" s="43"/>
      <c r="G498" s="43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  <c r="AB498" s="30"/>
      <c r="AC498" s="30"/>
      <c r="AD498" s="30"/>
      <c r="AE498" s="30"/>
      <c r="AF498" s="30"/>
      <c r="AG498" s="30"/>
      <c r="AH498" s="30"/>
      <c r="AI498" s="30"/>
      <c r="AJ498" s="30"/>
      <c r="AK498" s="30"/>
      <c r="AL498" s="30"/>
      <c r="AM498" s="30"/>
      <c r="AN498" s="30"/>
      <c r="AO498" s="30"/>
      <c r="AP498" s="30"/>
      <c r="AQ498" s="30"/>
    </row>
    <row r="499" spans="1:43" outlineLevel="1">
      <c r="A499" s="44">
        <v>281</v>
      </c>
      <c r="B499" s="37" t="s">
        <v>417</v>
      </c>
      <c r="C499" s="49" t="s">
        <v>418</v>
      </c>
      <c r="D499" s="39" t="s">
        <v>60</v>
      </c>
      <c r="E499" s="55">
        <v>3.02373</v>
      </c>
      <c r="F499" s="43"/>
      <c r="G499" s="43">
        <f>E499*F499</f>
        <v>0</v>
      </c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  <c r="AB499" s="30"/>
      <c r="AC499" s="30"/>
      <c r="AD499" s="30"/>
      <c r="AE499" s="30"/>
      <c r="AF499" s="30"/>
      <c r="AG499" s="30"/>
      <c r="AH499" s="30"/>
      <c r="AI499" s="30"/>
      <c r="AJ499" s="30"/>
      <c r="AK499" s="30"/>
      <c r="AL499" s="30"/>
      <c r="AM499" s="30"/>
      <c r="AN499" s="30"/>
      <c r="AO499" s="30"/>
      <c r="AP499" s="30"/>
      <c r="AQ499" s="30"/>
    </row>
    <row r="500" spans="1:43">
      <c r="A500" s="45" t="s">
        <v>49</v>
      </c>
      <c r="B500" s="38" t="s">
        <v>37</v>
      </c>
      <c r="C500" s="50" t="s">
        <v>38</v>
      </c>
      <c r="D500" s="40"/>
      <c r="E500" s="56"/>
      <c r="F500" s="330">
        <f>SUM(G501:G532)</f>
        <v>0</v>
      </c>
      <c r="G500" s="331"/>
    </row>
    <row r="501" spans="1:43" ht="22.5" outlineLevel="1">
      <c r="A501" s="44">
        <v>282</v>
      </c>
      <c r="B501" s="37" t="s">
        <v>419</v>
      </c>
      <c r="C501" s="49" t="s">
        <v>420</v>
      </c>
      <c r="D501" s="39" t="s">
        <v>57</v>
      </c>
      <c r="E501" s="55">
        <v>106.74</v>
      </c>
      <c r="F501" s="43"/>
      <c r="G501" s="43">
        <f>E501*F501</f>
        <v>0</v>
      </c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  <c r="AB501" s="30"/>
      <c r="AC501" s="30"/>
      <c r="AD501" s="30"/>
      <c r="AE501" s="30"/>
      <c r="AF501" s="30"/>
      <c r="AG501" s="30"/>
      <c r="AH501" s="30"/>
      <c r="AI501" s="30"/>
      <c r="AJ501" s="30"/>
      <c r="AK501" s="30"/>
      <c r="AL501" s="30"/>
      <c r="AM501" s="30"/>
      <c r="AN501" s="30"/>
      <c r="AO501" s="30"/>
      <c r="AP501" s="30"/>
      <c r="AQ501" s="30"/>
    </row>
    <row r="502" spans="1:43" outlineLevel="1">
      <c r="A502" s="44"/>
      <c r="B502" s="37"/>
      <c r="C502" s="51" t="s">
        <v>59</v>
      </c>
      <c r="D502" s="41"/>
      <c r="E502" s="57"/>
      <c r="F502" s="43"/>
      <c r="G502" s="43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  <c r="AB502" s="30"/>
      <c r="AC502" s="30"/>
      <c r="AD502" s="30"/>
      <c r="AE502" s="30"/>
      <c r="AF502" s="30"/>
      <c r="AG502" s="30"/>
      <c r="AH502" s="30"/>
      <c r="AI502" s="30"/>
      <c r="AJ502" s="30"/>
      <c r="AK502" s="30"/>
      <c r="AL502" s="30"/>
      <c r="AM502" s="30"/>
      <c r="AN502" s="30"/>
      <c r="AO502" s="30"/>
      <c r="AP502" s="30"/>
      <c r="AQ502" s="30"/>
    </row>
    <row r="503" spans="1:43" outlineLevel="1">
      <c r="A503" s="44"/>
      <c r="B503" s="37"/>
      <c r="C503" s="51" t="s">
        <v>149</v>
      </c>
      <c r="D503" s="41"/>
      <c r="E503" s="57">
        <v>10</v>
      </c>
      <c r="F503" s="43"/>
      <c r="G503" s="43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  <c r="AB503" s="30"/>
      <c r="AC503" s="30"/>
      <c r="AD503" s="30"/>
      <c r="AE503" s="30"/>
      <c r="AF503" s="30"/>
      <c r="AG503" s="30"/>
      <c r="AH503" s="30"/>
      <c r="AI503" s="30"/>
      <c r="AJ503" s="30"/>
      <c r="AK503" s="30"/>
      <c r="AL503" s="30"/>
      <c r="AM503" s="30"/>
      <c r="AN503" s="30"/>
      <c r="AO503" s="30"/>
      <c r="AP503" s="30"/>
      <c r="AQ503" s="30"/>
    </row>
    <row r="504" spans="1:43" outlineLevel="1">
      <c r="A504" s="44"/>
      <c r="B504" s="37"/>
      <c r="C504" s="51" t="s">
        <v>150</v>
      </c>
      <c r="D504" s="41"/>
      <c r="E504" s="57">
        <v>15</v>
      </c>
      <c r="F504" s="43"/>
      <c r="G504" s="43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  <c r="AB504" s="30"/>
      <c r="AC504" s="30"/>
      <c r="AD504" s="30"/>
      <c r="AE504" s="30"/>
      <c r="AF504" s="30"/>
      <c r="AG504" s="30"/>
      <c r="AH504" s="30"/>
      <c r="AI504" s="30"/>
      <c r="AJ504" s="30"/>
      <c r="AK504" s="30"/>
      <c r="AL504" s="30"/>
      <c r="AM504" s="30"/>
      <c r="AN504" s="30"/>
      <c r="AO504" s="30"/>
      <c r="AP504" s="30"/>
      <c r="AQ504" s="30"/>
    </row>
    <row r="505" spans="1:43" outlineLevel="1">
      <c r="A505" s="44"/>
      <c r="B505" s="37"/>
      <c r="C505" s="51" t="s">
        <v>421</v>
      </c>
      <c r="D505" s="41"/>
      <c r="E505" s="57">
        <v>12.6</v>
      </c>
      <c r="F505" s="43"/>
      <c r="G505" s="43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  <c r="AB505" s="30"/>
      <c r="AC505" s="30"/>
      <c r="AD505" s="30"/>
      <c r="AE505" s="30"/>
      <c r="AF505" s="30"/>
      <c r="AG505" s="30"/>
      <c r="AH505" s="30"/>
      <c r="AI505" s="30"/>
      <c r="AJ505" s="30"/>
      <c r="AK505" s="30"/>
      <c r="AL505" s="30"/>
      <c r="AM505" s="30"/>
      <c r="AN505" s="30"/>
      <c r="AO505" s="30"/>
      <c r="AP505" s="30"/>
      <c r="AQ505" s="30"/>
    </row>
    <row r="506" spans="1:43" outlineLevel="1">
      <c r="A506" s="44"/>
      <c r="B506" s="37"/>
      <c r="C506" s="51" t="s">
        <v>422</v>
      </c>
      <c r="D506" s="41"/>
      <c r="E506" s="57">
        <v>13</v>
      </c>
      <c r="F506" s="43"/>
      <c r="G506" s="43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  <c r="AB506" s="30"/>
      <c r="AC506" s="30"/>
      <c r="AD506" s="30"/>
      <c r="AE506" s="30"/>
      <c r="AF506" s="30"/>
      <c r="AG506" s="30"/>
      <c r="AH506" s="30"/>
      <c r="AI506" s="30"/>
      <c r="AJ506" s="30"/>
      <c r="AK506" s="30"/>
      <c r="AL506" s="30"/>
      <c r="AM506" s="30"/>
      <c r="AN506" s="30"/>
      <c r="AO506" s="30"/>
      <c r="AP506" s="30"/>
      <c r="AQ506" s="30"/>
    </row>
    <row r="507" spans="1:43" outlineLevel="1">
      <c r="A507" s="44"/>
      <c r="B507" s="37"/>
      <c r="C507" s="51" t="s">
        <v>423</v>
      </c>
      <c r="D507" s="41"/>
      <c r="E507" s="57">
        <v>7.4</v>
      </c>
      <c r="F507" s="43"/>
      <c r="G507" s="43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  <c r="AB507" s="30"/>
      <c r="AC507" s="30"/>
      <c r="AD507" s="30"/>
      <c r="AE507" s="30"/>
      <c r="AF507" s="30"/>
      <c r="AG507" s="30"/>
      <c r="AH507" s="30"/>
      <c r="AI507" s="30"/>
      <c r="AJ507" s="30"/>
      <c r="AK507" s="30"/>
      <c r="AL507" s="30"/>
      <c r="AM507" s="30"/>
      <c r="AN507" s="30"/>
      <c r="AO507" s="30"/>
      <c r="AP507" s="30"/>
      <c r="AQ507" s="30"/>
    </row>
    <row r="508" spans="1:43" outlineLevel="1">
      <c r="A508" s="44"/>
      <c r="B508" s="37"/>
      <c r="C508" s="51" t="s">
        <v>424</v>
      </c>
      <c r="D508" s="41"/>
      <c r="E508" s="57">
        <v>22.04</v>
      </c>
      <c r="F508" s="43"/>
      <c r="G508" s="43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  <c r="AB508" s="30"/>
      <c r="AC508" s="30"/>
      <c r="AD508" s="30"/>
      <c r="AE508" s="30"/>
      <c r="AF508" s="30"/>
      <c r="AG508" s="30"/>
      <c r="AH508" s="30"/>
      <c r="AI508" s="30"/>
      <c r="AJ508" s="30"/>
      <c r="AK508" s="30"/>
      <c r="AL508" s="30"/>
      <c r="AM508" s="30"/>
      <c r="AN508" s="30"/>
      <c r="AO508" s="30"/>
      <c r="AP508" s="30"/>
      <c r="AQ508" s="30"/>
    </row>
    <row r="509" spans="1:43" outlineLevel="1">
      <c r="A509" s="44"/>
      <c r="B509" s="37"/>
      <c r="C509" s="51" t="s">
        <v>425</v>
      </c>
      <c r="D509" s="41"/>
      <c r="E509" s="57">
        <v>5.85</v>
      </c>
      <c r="F509" s="43"/>
      <c r="G509" s="43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  <c r="AB509" s="30"/>
      <c r="AC509" s="30"/>
      <c r="AD509" s="30"/>
      <c r="AE509" s="30"/>
      <c r="AF509" s="30"/>
      <c r="AG509" s="30"/>
      <c r="AH509" s="30"/>
      <c r="AI509" s="30"/>
      <c r="AJ509" s="30"/>
      <c r="AK509" s="30"/>
      <c r="AL509" s="30"/>
      <c r="AM509" s="30"/>
      <c r="AN509" s="30"/>
      <c r="AO509" s="30"/>
      <c r="AP509" s="30"/>
      <c r="AQ509" s="30"/>
    </row>
    <row r="510" spans="1:43" outlineLevel="1">
      <c r="A510" s="44"/>
      <c r="B510" s="37"/>
      <c r="C510" s="51" t="s">
        <v>426</v>
      </c>
      <c r="D510" s="41"/>
      <c r="E510" s="57">
        <v>4.05</v>
      </c>
      <c r="F510" s="43"/>
      <c r="G510" s="43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F510" s="30"/>
      <c r="AG510" s="30"/>
      <c r="AH510" s="30"/>
      <c r="AI510" s="30"/>
      <c r="AJ510" s="30"/>
      <c r="AK510" s="30"/>
      <c r="AL510" s="30"/>
      <c r="AM510" s="30"/>
      <c r="AN510" s="30"/>
      <c r="AO510" s="30"/>
      <c r="AP510" s="30"/>
      <c r="AQ510" s="30"/>
    </row>
    <row r="511" spans="1:43" outlineLevel="1">
      <c r="A511" s="44"/>
      <c r="B511" s="37"/>
      <c r="C511" s="51" t="s">
        <v>427</v>
      </c>
      <c r="D511" s="41"/>
      <c r="E511" s="57">
        <v>16.8</v>
      </c>
      <c r="F511" s="43"/>
      <c r="G511" s="43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  <c r="AB511" s="30"/>
      <c r="AC511" s="30"/>
      <c r="AD511" s="30"/>
      <c r="AE511" s="30"/>
      <c r="AF511" s="30"/>
      <c r="AG511" s="30"/>
      <c r="AH511" s="30"/>
      <c r="AI511" s="30"/>
      <c r="AJ511" s="30"/>
      <c r="AK511" s="30"/>
      <c r="AL511" s="30"/>
      <c r="AM511" s="30"/>
      <c r="AN511" s="30"/>
      <c r="AO511" s="30"/>
      <c r="AP511" s="30"/>
      <c r="AQ511" s="30"/>
    </row>
    <row r="512" spans="1:43" outlineLevel="1">
      <c r="A512" s="44"/>
      <c r="B512" s="37"/>
      <c r="C512" s="51" t="s">
        <v>61</v>
      </c>
      <c r="D512" s="41"/>
      <c r="E512" s="57"/>
      <c r="F512" s="43"/>
      <c r="G512" s="43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  <c r="AB512" s="30"/>
      <c r="AC512" s="30"/>
      <c r="AD512" s="30"/>
      <c r="AE512" s="30"/>
      <c r="AF512" s="30"/>
      <c r="AG512" s="30"/>
      <c r="AH512" s="30"/>
      <c r="AI512" s="30"/>
      <c r="AJ512" s="30"/>
      <c r="AK512" s="30"/>
      <c r="AL512" s="30"/>
      <c r="AM512" s="30"/>
      <c r="AN512" s="30"/>
      <c r="AO512" s="30"/>
      <c r="AP512" s="30"/>
      <c r="AQ512" s="30"/>
    </row>
    <row r="513" spans="1:43" outlineLevel="1">
      <c r="A513" s="44"/>
      <c r="B513" s="37"/>
      <c r="C513" s="51" t="s">
        <v>428</v>
      </c>
      <c r="D513" s="41"/>
      <c r="E513" s="57">
        <v>0</v>
      </c>
      <c r="F513" s="43"/>
      <c r="G513" s="43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  <c r="AB513" s="30"/>
      <c r="AC513" s="30"/>
      <c r="AD513" s="30"/>
      <c r="AE513" s="30"/>
      <c r="AF513" s="30"/>
      <c r="AG513" s="30"/>
      <c r="AH513" s="30"/>
      <c r="AI513" s="30"/>
      <c r="AJ513" s="30"/>
      <c r="AK513" s="30"/>
      <c r="AL513" s="30"/>
      <c r="AM513" s="30"/>
      <c r="AN513" s="30"/>
      <c r="AO513" s="30"/>
      <c r="AP513" s="30"/>
      <c r="AQ513" s="30"/>
    </row>
    <row r="514" spans="1:43" outlineLevel="1">
      <c r="A514" s="44">
        <v>283</v>
      </c>
      <c r="B514" s="37" t="s">
        <v>429</v>
      </c>
      <c r="C514" s="49" t="s">
        <v>430</v>
      </c>
      <c r="D514" s="39" t="s">
        <v>57</v>
      </c>
      <c r="E514" s="55">
        <v>106.74</v>
      </c>
      <c r="F514" s="43"/>
      <c r="G514" s="43">
        <f>E514*F514</f>
        <v>0</v>
      </c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  <c r="AB514" s="30"/>
      <c r="AC514" s="30"/>
      <c r="AD514" s="30"/>
      <c r="AE514" s="30"/>
      <c r="AF514" s="30"/>
      <c r="AG514" s="30"/>
      <c r="AH514" s="30"/>
      <c r="AI514" s="30"/>
      <c r="AJ514" s="30"/>
      <c r="AK514" s="30"/>
      <c r="AL514" s="30"/>
      <c r="AM514" s="30"/>
      <c r="AN514" s="30"/>
      <c r="AO514" s="30"/>
      <c r="AP514" s="30"/>
      <c r="AQ514" s="30"/>
    </row>
    <row r="515" spans="1:43" outlineLevel="1">
      <c r="A515" s="44">
        <v>284</v>
      </c>
      <c r="B515" s="37" t="s">
        <v>431</v>
      </c>
      <c r="C515" s="49" t="s">
        <v>432</v>
      </c>
      <c r="D515" s="39" t="s">
        <v>57</v>
      </c>
      <c r="E515" s="55">
        <v>27.3</v>
      </c>
      <c r="F515" s="43"/>
      <c r="G515" s="43">
        <f>E515*F515</f>
        <v>0</v>
      </c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  <c r="AB515" s="30"/>
      <c r="AC515" s="30"/>
      <c r="AD515" s="30"/>
      <c r="AE515" s="30"/>
      <c r="AF515" s="30"/>
      <c r="AG515" s="30"/>
      <c r="AH515" s="30"/>
      <c r="AI515" s="30"/>
      <c r="AJ515" s="30"/>
      <c r="AK515" s="30"/>
      <c r="AL515" s="30"/>
      <c r="AM515" s="30"/>
      <c r="AN515" s="30"/>
      <c r="AO515" s="30"/>
      <c r="AP515" s="30"/>
      <c r="AQ515" s="30"/>
    </row>
    <row r="516" spans="1:43" outlineLevel="1">
      <c r="A516" s="44"/>
      <c r="B516" s="37"/>
      <c r="C516" s="51" t="s">
        <v>59</v>
      </c>
      <c r="D516" s="41"/>
      <c r="E516" s="57"/>
      <c r="F516" s="43"/>
      <c r="G516" s="43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  <c r="AB516" s="30"/>
      <c r="AC516" s="30"/>
      <c r="AD516" s="30"/>
      <c r="AE516" s="30"/>
      <c r="AF516" s="30"/>
      <c r="AG516" s="30"/>
      <c r="AH516" s="30"/>
      <c r="AI516" s="30"/>
      <c r="AJ516" s="30"/>
      <c r="AK516" s="30"/>
      <c r="AL516" s="30"/>
      <c r="AM516" s="30"/>
      <c r="AN516" s="30"/>
      <c r="AO516" s="30"/>
      <c r="AP516" s="30"/>
      <c r="AQ516" s="30"/>
    </row>
    <row r="517" spans="1:43" outlineLevel="1">
      <c r="A517" s="44"/>
      <c r="B517" s="37"/>
      <c r="C517" s="51" t="s">
        <v>149</v>
      </c>
      <c r="D517" s="41"/>
      <c r="E517" s="57">
        <v>10</v>
      </c>
      <c r="F517" s="43"/>
      <c r="G517" s="43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  <c r="AB517" s="30"/>
      <c r="AC517" s="30"/>
      <c r="AD517" s="30"/>
      <c r="AE517" s="30"/>
      <c r="AF517" s="30"/>
      <c r="AG517" s="30"/>
      <c r="AH517" s="30"/>
      <c r="AI517" s="30"/>
      <c r="AJ517" s="30"/>
      <c r="AK517" s="30"/>
      <c r="AL517" s="30"/>
      <c r="AM517" s="30"/>
      <c r="AN517" s="30"/>
      <c r="AO517" s="30"/>
      <c r="AP517" s="30"/>
      <c r="AQ517" s="30"/>
    </row>
    <row r="518" spans="1:43" outlineLevel="1">
      <c r="A518" s="44"/>
      <c r="B518" s="37"/>
      <c r="C518" s="51" t="s">
        <v>423</v>
      </c>
      <c r="D518" s="41"/>
      <c r="E518" s="57">
        <v>7.4</v>
      </c>
      <c r="F518" s="43"/>
      <c r="G518" s="43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  <c r="AB518" s="30"/>
      <c r="AC518" s="30"/>
      <c r="AD518" s="30"/>
      <c r="AE518" s="30"/>
      <c r="AF518" s="30"/>
      <c r="AG518" s="30"/>
      <c r="AH518" s="30"/>
      <c r="AI518" s="30"/>
      <c r="AJ518" s="30"/>
      <c r="AK518" s="30"/>
      <c r="AL518" s="30"/>
      <c r="AM518" s="30"/>
      <c r="AN518" s="30"/>
      <c r="AO518" s="30"/>
      <c r="AP518" s="30"/>
      <c r="AQ518" s="30"/>
    </row>
    <row r="519" spans="1:43" outlineLevel="1">
      <c r="A519" s="44"/>
      <c r="B519" s="37"/>
      <c r="C519" s="51" t="s">
        <v>425</v>
      </c>
      <c r="D519" s="41"/>
      <c r="E519" s="57">
        <v>5.85</v>
      </c>
      <c r="F519" s="43"/>
      <c r="G519" s="43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  <c r="AB519" s="30"/>
      <c r="AC519" s="30"/>
      <c r="AD519" s="30"/>
      <c r="AE519" s="30"/>
      <c r="AF519" s="30"/>
      <c r="AG519" s="30"/>
      <c r="AH519" s="30"/>
      <c r="AI519" s="30"/>
      <c r="AJ519" s="30"/>
      <c r="AK519" s="30"/>
      <c r="AL519" s="30"/>
      <c r="AM519" s="30"/>
      <c r="AN519" s="30"/>
      <c r="AO519" s="30"/>
      <c r="AP519" s="30"/>
      <c r="AQ519" s="30"/>
    </row>
    <row r="520" spans="1:43" outlineLevel="1">
      <c r="A520" s="44"/>
      <c r="B520" s="37"/>
      <c r="C520" s="51" t="s">
        <v>426</v>
      </c>
      <c r="D520" s="41"/>
      <c r="E520" s="57">
        <v>4.05</v>
      </c>
      <c r="F520" s="43"/>
      <c r="G520" s="43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F520" s="30"/>
      <c r="AG520" s="30"/>
      <c r="AH520" s="30"/>
      <c r="AI520" s="30"/>
      <c r="AJ520" s="30"/>
      <c r="AK520" s="30"/>
      <c r="AL520" s="30"/>
      <c r="AM520" s="30"/>
      <c r="AN520" s="30"/>
      <c r="AO520" s="30"/>
      <c r="AP520" s="30"/>
      <c r="AQ520" s="30"/>
    </row>
    <row r="521" spans="1:43" ht="22.5" outlineLevel="1">
      <c r="A521" s="44">
        <v>285</v>
      </c>
      <c r="B521" s="37" t="s">
        <v>433</v>
      </c>
      <c r="C521" s="49" t="s">
        <v>434</v>
      </c>
      <c r="D521" s="39" t="s">
        <v>62</v>
      </c>
      <c r="E521" s="55">
        <v>53.463999999999999</v>
      </c>
      <c r="F521" s="43"/>
      <c r="G521" s="43">
        <f>E521*F521</f>
        <v>0</v>
      </c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  <c r="AB521" s="30"/>
      <c r="AC521" s="30"/>
      <c r="AD521" s="30"/>
      <c r="AE521" s="30"/>
      <c r="AF521" s="30"/>
      <c r="AG521" s="30"/>
      <c r="AH521" s="30"/>
      <c r="AI521" s="30"/>
      <c r="AJ521" s="30"/>
      <c r="AK521" s="30"/>
      <c r="AL521" s="30"/>
      <c r="AM521" s="30"/>
      <c r="AN521" s="30"/>
      <c r="AO521" s="30"/>
      <c r="AP521" s="30"/>
      <c r="AQ521" s="30"/>
    </row>
    <row r="522" spans="1:43" outlineLevel="1">
      <c r="A522" s="44"/>
      <c r="B522" s="37"/>
      <c r="C522" s="51" t="s">
        <v>435</v>
      </c>
      <c r="D522" s="41"/>
      <c r="E522" s="57">
        <v>53.463999999999999</v>
      </c>
      <c r="F522" s="43"/>
      <c r="G522" s="43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  <c r="AB522" s="30"/>
      <c r="AC522" s="30"/>
      <c r="AD522" s="30"/>
      <c r="AE522" s="30"/>
      <c r="AF522" s="30"/>
      <c r="AG522" s="30"/>
      <c r="AH522" s="30"/>
      <c r="AI522" s="30"/>
      <c r="AJ522" s="30"/>
      <c r="AK522" s="30"/>
      <c r="AL522" s="30"/>
      <c r="AM522" s="30"/>
      <c r="AN522" s="30"/>
      <c r="AO522" s="30"/>
      <c r="AP522" s="30"/>
      <c r="AQ522" s="30"/>
    </row>
    <row r="523" spans="1:43" ht="22.5" outlineLevel="1">
      <c r="A523" s="44">
        <v>286</v>
      </c>
      <c r="B523" s="37" t="s">
        <v>436</v>
      </c>
      <c r="C523" s="49" t="s">
        <v>437</v>
      </c>
      <c r="D523" s="39" t="s">
        <v>57</v>
      </c>
      <c r="E523" s="55">
        <v>106.74</v>
      </c>
      <c r="F523" s="43"/>
      <c r="G523" s="43">
        <f>E523*F523</f>
        <v>0</v>
      </c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  <c r="AB523" s="30"/>
      <c r="AC523" s="30"/>
      <c r="AD523" s="30"/>
      <c r="AE523" s="30"/>
      <c r="AF523" s="30"/>
      <c r="AG523" s="30"/>
      <c r="AH523" s="30"/>
      <c r="AI523" s="30"/>
      <c r="AJ523" s="30"/>
      <c r="AK523" s="30"/>
      <c r="AL523" s="30"/>
      <c r="AM523" s="30"/>
      <c r="AN523" s="30"/>
      <c r="AO523" s="30"/>
      <c r="AP523" s="30"/>
      <c r="AQ523" s="30"/>
    </row>
    <row r="524" spans="1:43" outlineLevel="1">
      <c r="A524" s="44">
        <v>287</v>
      </c>
      <c r="B524" s="37" t="s">
        <v>438</v>
      </c>
      <c r="C524" s="49" t="s">
        <v>439</v>
      </c>
      <c r="D524" s="39" t="s">
        <v>392</v>
      </c>
      <c r="E524" s="55">
        <v>40</v>
      </c>
      <c r="F524" s="43"/>
      <c r="G524" s="43">
        <f>E524*F524</f>
        <v>0</v>
      </c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  <c r="AB524" s="30"/>
      <c r="AC524" s="30"/>
      <c r="AD524" s="30"/>
      <c r="AE524" s="30"/>
      <c r="AF524" s="30"/>
      <c r="AG524" s="30"/>
      <c r="AH524" s="30"/>
      <c r="AI524" s="30"/>
      <c r="AJ524" s="30"/>
      <c r="AK524" s="30"/>
      <c r="AL524" s="30"/>
      <c r="AM524" s="30"/>
      <c r="AN524" s="30"/>
      <c r="AO524" s="30"/>
      <c r="AP524" s="30"/>
      <c r="AQ524" s="30"/>
    </row>
    <row r="525" spans="1:43" outlineLevel="1">
      <c r="A525" s="44"/>
      <c r="B525" s="37"/>
      <c r="C525" s="51" t="s">
        <v>440</v>
      </c>
      <c r="D525" s="41"/>
      <c r="E525" s="57">
        <v>40</v>
      </c>
      <c r="F525" s="43"/>
      <c r="G525" s="43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  <c r="AB525" s="30"/>
      <c r="AC525" s="30"/>
      <c r="AD525" s="30"/>
      <c r="AE525" s="30"/>
      <c r="AF525" s="30"/>
      <c r="AG525" s="30"/>
      <c r="AH525" s="30"/>
      <c r="AI525" s="30"/>
      <c r="AJ525" s="30"/>
      <c r="AK525" s="30"/>
      <c r="AL525" s="30"/>
      <c r="AM525" s="30"/>
      <c r="AN525" s="30"/>
      <c r="AO525" s="30"/>
      <c r="AP525" s="30"/>
      <c r="AQ525" s="30"/>
    </row>
    <row r="526" spans="1:43" ht="22.5" outlineLevel="1">
      <c r="A526" s="44">
        <v>288</v>
      </c>
      <c r="B526" s="37" t="s">
        <v>441</v>
      </c>
      <c r="C526" s="49" t="s">
        <v>442</v>
      </c>
      <c r="D526" s="39" t="s">
        <v>52</v>
      </c>
      <c r="E526" s="55">
        <v>4</v>
      </c>
      <c r="F526" s="43"/>
      <c r="G526" s="43">
        <f>E526*F526</f>
        <v>0</v>
      </c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  <c r="AB526" s="30"/>
      <c r="AC526" s="30"/>
      <c r="AD526" s="30"/>
      <c r="AE526" s="30"/>
      <c r="AF526" s="30"/>
      <c r="AG526" s="30"/>
      <c r="AH526" s="30"/>
      <c r="AI526" s="30"/>
      <c r="AJ526" s="30"/>
      <c r="AK526" s="30"/>
      <c r="AL526" s="30"/>
      <c r="AM526" s="30"/>
      <c r="AN526" s="30"/>
      <c r="AO526" s="30"/>
      <c r="AP526" s="30"/>
      <c r="AQ526" s="30"/>
    </row>
    <row r="527" spans="1:43" ht="22.5" outlineLevel="1">
      <c r="A527" s="44">
        <v>289</v>
      </c>
      <c r="B527" s="37" t="s">
        <v>443</v>
      </c>
      <c r="C527" s="49" t="s">
        <v>444</v>
      </c>
      <c r="D527" s="39" t="s">
        <v>52</v>
      </c>
      <c r="E527" s="55">
        <v>1</v>
      </c>
      <c r="F527" s="43"/>
      <c r="G527" s="43">
        <f>E527*F527</f>
        <v>0</v>
      </c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  <c r="AB527" s="30"/>
      <c r="AC527" s="30"/>
      <c r="AD527" s="30"/>
      <c r="AE527" s="30"/>
      <c r="AF527" s="30"/>
      <c r="AG527" s="30"/>
      <c r="AH527" s="30"/>
      <c r="AI527" s="30"/>
      <c r="AJ527" s="30"/>
      <c r="AK527" s="30"/>
      <c r="AL527" s="30"/>
      <c r="AM527" s="30"/>
      <c r="AN527" s="30"/>
      <c r="AO527" s="30"/>
      <c r="AP527" s="30"/>
      <c r="AQ527" s="30"/>
    </row>
    <row r="528" spans="1:43" ht="22.5" outlineLevel="1">
      <c r="A528" s="44">
        <v>290</v>
      </c>
      <c r="B528" s="37" t="s">
        <v>445</v>
      </c>
      <c r="C528" s="49" t="s">
        <v>446</v>
      </c>
      <c r="D528" s="39" t="s">
        <v>151</v>
      </c>
      <c r="E528" s="55">
        <v>110</v>
      </c>
      <c r="F528" s="43"/>
      <c r="G528" s="43">
        <f>E528*F528</f>
        <v>0</v>
      </c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  <c r="AB528" s="30"/>
      <c r="AC528" s="30"/>
      <c r="AD528" s="30"/>
      <c r="AE528" s="30"/>
      <c r="AF528" s="30"/>
      <c r="AG528" s="30"/>
      <c r="AH528" s="30"/>
      <c r="AI528" s="30"/>
      <c r="AJ528" s="30"/>
      <c r="AK528" s="30"/>
      <c r="AL528" s="30"/>
      <c r="AM528" s="30"/>
      <c r="AN528" s="30"/>
      <c r="AO528" s="30"/>
      <c r="AP528" s="30"/>
      <c r="AQ528" s="30"/>
    </row>
    <row r="529" spans="1:43" outlineLevel="1">
      <c r="A529" s="44"/>
      <c r="B529" s="37"/>
      <c r="C529" s="51" t="s">
        <v>447</v>
      </c>
      <c r="D529" s="41"/>
      <c r="E529" s="57">
        <v>110</v>
      </c>
      <c r="F529" s="43"/>
      <c r="G529" s="43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F529" s="30"/>
      <c r="AG529" s="30"/>
      <c r="AH529" s="30"/>
      <c r="AI529" s="30"/>
      <c r="AJ529" s="30"/>
      <c r="AK529" s="30"/>
      <c r="AL529" s="30"/>
      <c r="AM529" s="30"/>
      <c r="AN529" s="30"/>
      <c r="AO529" s="30"/>
      <c r="AP529" s="30"/>
      <c r="AQ529" s="30"/>
    </row>
    <row r="530" spans="1:43" outlineLevel="1">
      <c r="A530" s="44">
        <v>291</v>
      </c>
      <c r="B530" s="37" t="s">
        <v>448</v>
      </c>
      <c r="C530" s="49" t="s">
        <v>449</v>
      </c>
      <c r="D530" s="39" t="s">
        <v>151</v>
      </c>
      <c r="E530" s="55">
        <v>9.6300000000000008</v>
      </c>
      <c r="F530" s="43"/>
      <c r="G530" s="43">
        <f>E530*F530</f>
        <v>0</v>
      </c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  <c r="AB530" s="30"/>
      <c r="AC530" s="30"/>
      <c r="AD530" s="30"/>
      <c r="AE530" s="30"/>
      <c r="AF530" s="30"/>
      <c r="AG530" s="30"/>
      <c r="AH530" s="30"/>
      <c r="AI530" s="30"/>
      <c r="AJ530" s="30"/>
      <c r="AK530" s="30"/>
      <c r="AL530" s="30"/>
      <c r="AM530" s="30"/>
      <c r="AN530" s="30"/>
      <c r="AO530" s="30"/>
      <c r="AP530" s="30"/>
      <c r="AQ530" s="30"/>
    </row>
    <row r="531" spans="1:43" outlineLevel="1">
      <c r="A531" s="44"/>
      <c r="B531" s="37"/>
      <c r="C531" s="51" t="s">
        <v>450</v>
      </c>
      <c r="D531" s="41"/>
      <c r="E531" s="57">
        <v>9.6300000000000008</v>
      </c>
      <c r="F531" s="43"/>
      <c r="G531" s="43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  <c r="AB531" s="30"/>
      <c r="AC531" s="30"/>
      <c r="AD531" s="30"/>
      <c r="AE531" s="30"/>
      <c r="AF531" s="30"/>
      <c r="AG531" s="30"/>
      <c r="AH531" s="30"/>
      <c r="AI531" s="30"/>
      <c r="AJ531" s="30"/>
      <c r="AK531" s="30"/>
      <c r="AL531" s="30"/>
      <c r="AM531" s="30"/>
      <c r="AN531" s="30"/>
      <c r="AO531" s="30"/>
      <c r="AP531" s="30"/>
      <c r="AQ531" s="30"/>
    </row>
    <row r="532" spans="1:43" outlineLevel="1">
      <c r="A532" s="44">
        <v>292</v>
      </c>
      <c r="B532" s="37" t="s">
        <v>451</v>
      </c>
      <c r="C532" s="49" t="s">
        <v>452</v>
      </c>
      <c r="D532" s="39" t="s">
        <v>60</v>
      </c>
      <c r="E532" s="55">
        <v>3.14852</v>
      </c>
      <c r="F532" s="43"/>
      <c r="G532" s="43">
        <f>E532*F532</f>
        <v>0</v>
      </c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  <c r="AB532" s="30"/>
      <c r="AC532" s="30"/>
      <c r="AD532" s="30"/>
      <c r="AE532" s="30"/>
      <c r="AF532" s="30"/>
      <c r="AG532" s="30"/>
      <c r="AH532" s="30"/>
      <c r="AI532" s="30"/>
      <c r="AJ532" s="30"/>
      <c r="AK532" s="30"/>
      <c r="AL532" s="30"/>
      <c r="AM532" s="30"/>
      <c r="AN532" s="30"/>
      <c r="AO532" s="30"/>
      <c r="AP532" s="30"/>
      <c r="AQ532" s="30"/>
    </row>
    <row r="533" spans="1:43">
      <c r="A533" s="45" t="s">
        <v>49</v>
      </c>
      <c r="B533" s="38" t="s">
        <v>39</v>
      </c>
      <c r="C533" s="50" t="s">
        <v>40</v>
      </c>
      <c r="D533" s="40"/>
      <c r="E533" s="56"/>
      <c r="F533" s="330">
        <f>SUM(G534:G566)</f>
        <v>0</v>
      </c>
      <c r="G533" s="331"/>
    </row>
    <row r="534" spans="1:43" outlineLevel="1">
      <c r="A534" s="44">
        <v>293</v>
      </c>
      <c r="B534" s="37" t="s">
        <v>453</v>
      </c>
      <c r="C534" s="49" t="s">
        <v>454</v>
      </c>
      <c r="D534" s="39" t="s">
        <v>57</v>
      </c>
      <c r="E534" s="55">
        <v>57.97</v>
      </c>
      <c r="F534" s="43"/>
      <c r="G534" s="43">
        <f>E534*F534</f>
        <v>0</v>
      </c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  <c r="AB534" s="30"/>
      <c r="AC534" s="30"/>
      <c r="AD534" s="30"/>
      <c r="AE534" s="30"/>
      <c r="AF534" s="30"/>
      <c r="AG534" s="30"/>
      <c r="AH534" s="30"/>
      <c r="AI534" s="30"/>
      <c r="AJ534" s="30"/>
      <c r="AK534" s="30"/>
      <c r="AL534" s="30"/>
      <c r="AM534" s="30"/>
      <c r="AN534" s="30"/>
      <c r="AO534" s="30"/>
      <c r="AP534" s="30"/>
      <c r="AQ534" s="30"/>
    </row>
    <row r="535" spans="1:43" ht="12.75" customHeight="1" outlineLevel="1">
      <c r="A535" s="44"/>
      <c r="B535" s="37"/>
      <c r="C535" s="326" t="s">
        <v>455</v>
      </c>
      <c r="D535" s="383"/>
      <c r="E535" s="383"/>
      <c r="F535" s="383"/>
      <c r="G535" s="384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  <c r="AB535" s="30"/>
      <c r="AC535" s="30"/>
      <c r="AD535" s="30"/>
      <c r="AE535" s="30"/>
      <c r="AF535" s="30"/>
      <c r="AG535" s="30"/>
      <c r="AH535" s="30"/>
      <c r="AI535" s="30"/>
      <c r="AJ535" s="36" t="str">
        <f>C535</f>
        <v>Nátěr - vysoký standard - otěruvzdorný,vodovzdorný,</v>
      </c>
      <c r="AK535" s="30"/>
      <c r="AL535" s="30"/>
      <c r="AM535" s="30"/>
      <c r="AN535" s="30"/>
      <c r="AO535" s="30"/>
      <c r="AP535" s="30"/>
      <c r="AQ535" s="30"/>
    </row>
    <row r="536" spans="1:43" ht="12.75" customHeight="1" outlineLevel="1">
      <c r="A536" s="44"/>
      <c r="B536" s="37"/>
      <c r="C536" s="326" t="s">
        <v>456</v>
      </c>
      <c r="D536" s="383"/>
      <c r="E536" s="383"/>
      <c r="F536" s="383"/>
      <c r="G536" s="384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  <c r="AB536" s="30"/>
      <c r="AC536" s="30"/>
      <c r="AD536" s="30"/>
      <c r="AE536" s="30"/>
      <c r="AF536" s="30"/>
      <c r="AG536" s="30"/>
      <c r="AH536" s="30"/>
      <c r="AI536" s="30"/>
      <c r="AJ536" s="36" t="str">
        <f>C536</f>
        <v>odol.desinfekci,stálobarevný.Nátěr v pastelových barvách.</v>
      </c>
      <c r="AK536" s="30"/>
      <c r="AL536" s="30"/>
      <c r="AM536" s="30"/>
      <c r="AN536" s="30"/>
      <c r="AO536" s="30"/>
      <c r="AP536" s="30"/>
      <c r="AQ536" s="30"/>
    </row>
    <row r="537" spans="1:43" outlineLevel="1">
      <c r="A537" s="44"/>
      <c r="B537" s="37"/>
      <c r="C537" s="51" t="s">
        <v>457</v>
      </c>
      <c r="D537" s="41"/>
      <c r="E537" s="57"/>
      <c r="F537" s="43"/>
      <c r="G537" s="43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  <c r="AB537" s="30"/>
      <c r="AC537" s="30"/>
      <c r="AD537" s="30"/>
      <c r="AE537" s="30"/>
      <c r="AF537" s="30"/>
      <c r="AG537" s="30"/>
      <c r="AH537" s="30"/>
      <c r="AI537" s="30"/>
      <c r="AJ537" s="30"/>
      <c r="AK537" s="30"/>
      <c r="AL537" s="30"/>
      <c r="AM537" s="30"/>
      <c r="AN537" s="30"/>
      <c r="AO537" s="30"/>
      <c r="AP537" s="30"/>
      <c r="AQ537" s="30"/>
    </row>
    <row r="538" spans="1:43" outlineLevel="1">
      <c r="A538" s="44"/>
      <c r="B538" s="37"/>
      <c r="C538" s="51" t="s">
        <v>458</v>
      </c>
      <c r="D538" s="41"/>
      <c r="E538" s="57">
        <v>57.97</v>
      </c>
      <c r="F538" s="43"/>
      <c r="G538" s="43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F538" s="30"/>
      <c r="AG538" s="30"/>
      <c r="AH538" s="30"/>
      <c r="AI538" s="30"/>
      <c r="AJ538" s="30"/>
      <c r="AK538" s="30"/>
      <c r="AL538" s="30"/>
      <c r="AM538" s="30"/>
      <c r="AN538" s="30"/>
      <c r="AO538" s="30"/>
      <c r="AP538" s="30"/>
      <c r="AQ538" s="30"/>
    </row>
    <row r="539" spans="1:43" outlineLevel="1">
      <c r="A539" s="44"/>
      <c r="B539" s="37"/>
      <c r="C539" s="51" t="s">
        <v>459</v>
      </c>
      <c r="D539" s="41"/>
      <c r="E539" s="57"/>
      <c r="F539" s="43"/>
      <c r="G539" s="43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  <c r="AB539" s="30"/>
      <c r="AC539" s="30"/>
      <c r="AD539" s="30"/>
      <c r="AE539" s="30"/>
      <c r="AF539" s="30"/>
      <c r="AG539" s="30"/>
      <c r="AH539" s="30"/>
      <c r="AI539" s="30"/>
      <c r="AJ539" s="30"/>
      <c r="AK539" s="30"/>
      <c r="AL539" s="30"/>
      <c r="AM539" s="30"/>
      <c r="AN539" s="30"/>
      <c r="AO539" s="30"/>
      <c r="AP539" s="30"/>
      <c r="AQ539" s="30"/>
    </row>
    <row r="540" spans="1:43" outlineLevel="1">
      <c r="A540" s="44"/>
      <c r="B540" s="37"/>
      <c r="C540" s="51" t="s">
        <v>460</v>
      </c>
      <c r="D540" s="41"/>
      <c r="E540" s="57">
        <v>0</v>
      </c>
      <c r="F540" s="43"/>
      <c r="G540" s="43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  <c r="AB540" s="30"/>
      <c r="AC540" s="30"/>
      <c r="AD540" s="30"/>
      <c r="AE540" s="30"/>
      <c r="AF540" s="30"/>
      <c r="AG540" s="30"/>
      <c r="AH540" s="30"/>
      <c r="AI540" s="30"/>
      <c r="AJ540" s="30"/>
      <c r="AK540" s="30"/>
      <c r="AL540" s="30"/>
      <c r="AM540" s="30"/>
      <c r="AN540" s="30"/>
      <c r="AO540" s="30"/>
      <c r="AP540" s="30"/>
      <c r="AQ540" s="30"/>
    </row>
    <row r="541" spans="1:43" outlineLevel="1">
      <c r="A541" s="44"/>
      <c r="B541" s="37"/>
      <c r="C541" s="51" t="s">
        <v>461</v>
      </c>
      <c r="D541" s="41"/>
      <c r="E541" s="57">
        <v>0</v>
      </c>
      <c r="F541" s="43"/>
      <c r="G541" s="43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  <c r="AB541" s="30"/>
      <c r="AC541" s="30"/>
      <c r="AD541" s="30"/>
      <c r="AE541" s="30"/>
      <c r="AF541" s="30"/>
      <c r="AG541" s="30"/>
      <c r="AH541" s="30"/>
      <c r="AI541" s="30"/>
      <c r="AJ541" s="30"/>
      <c r="AK541" s="30"/>
      <c r="AL541" s="30"/>
      <c r="AM541" s="30"/>
      <c r="AN541" s="30"/>
      <c r="AO541" s="30"/>
      <c r="AP541" s="30"/>
      <c r="AQ541" s="30"/>
    </row>
    <row r="542" spans="1:43" outlineLevel="1">
      <c r="A542" s="44">
        <v>294</v>
      </c>
      <c r="B542" s="37" t="s">
        <v>462</v>
      </c>
      <c r="C542" s="49" t="s">
        <v>463</v>
      </c>
      <c r="D542" s="39" t="s">
        <v>57</v>
      </c>
      <c r="E542" s="55">
        <v>57.97</v>
      </c>
      <c r="F542" s="43"/>
      <c r="G542" s="43">
        <f>E542*F542</f>
        <v>0</v>
      </c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  <c r="AB542" s="30"/>
      <c r="AC542" s="30"/>
      <c r="AD542" s="30"/>
      <c r="AE542" s="30"/>
      <c r="AF542" s="30"/>
      <c r="AG542" s="30"/>
      <c r="AH542" s="30"/>
      <c r="AI542" s="30"/>
      <c r="AJ542" s="30"/>
      <c r="AK542" s="30"/>
      <c r="AL542" s="30"/>
      <c r="AM542" s="30"/>
      <c r="AN542" s="30"/>
      <c r="AO542" s="30"/>
      <c r="AP542" s="30"/>
      <c r="AQ542" s="30"/>
    </row>
    <row r="543" spans="1:43" outlineLevel="1">
      <c r="A543" s="44">
        <v>295</v>
      </c>
      <c r="B543" s="37" t="s">
        <v>464</v>
      </c>
      <c r="C543" s="49" t="s">
        <v>465</v>
      </c>
      <c r="D543" s="39" t="s">
        <v>57</v>
      </c>
      <c r="E543" s="55">
        <v>240</v>
      </c>
      <c r="F543" s="43"/>
      <c r="G543" s="43">
        <f>E543*F543</f>
        <v>0</v>
      </c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F543" s="30"/>
      <c r="AG543" s="30"/>
      <c r="AH543" s="30"/>
      <c r="AI543" s="30"/>
      <c r="AJ543" s="30"/>
      <c r="AK543" s="30"/>
      <c r="AL543" s="30"/>
      <c r="AM543" s="30"/>
      <c r="AN543" s="30"/>
      <c r="AO543" s="30"/>
      <c r="AP543" s="30"/>
      <c r="AQ543" s="30"/>
    </row>
    <row r="544" spans="1:43" outlineLevel="1">
      <c r="A544" s="44"/>
      <c r="B544" s="37"/>
      <c r="C544" s="51" t="s">
        <v>466</v>
      </c>
      <c r="D544" s="41"/>
      <c r="E544" s="57"/>
      <c r="F544" s="43"/>
      <c r="G544" s="43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  <c r="AB544" s="30"/>
      <c r="AC544" s="30"/>
      <c r="AD544" s="30"/>
      <c r="AE544" s="30"/>
      <c r="AF544" s="30"/>
      <c r="AG544" s="30"/>
      <c r="AH544" s="30"/>
      <c r="AI544" s="30"/>
      <c r="AJ544" s="30"/>
      <c r="AK544" s="30"/>
      <c r="AL544" s="30"/>
      <c r="AM544" s="30"/>
      <c r="AN544" s="30"/>
      <c r="AO544" s="30"/>
      <c r="AP544" s="30"/>
      <c r="AQ544" s="30"/>
    </row>
    <row r="545" spans="1:43" outlineLevel="1">
      <c r="A545" s="44"/>
      <c r="B545" s="37"/>
      <c r="C545" s="51" t="s">
        <v>467</v>
      </c>
      <c r="D545" s="41"/>
      <c r="E545" s="57">
        <v>240</v>
      </c>
      <c r="F545" s="43"/>
      <c r="G545" s="43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F545" s="30"/>
      <c r="AG545" s="30"/>
      <c r="AH545" s="30"/>
      <c r="AI545" s="30"/>
      <c r="AJ545" s="30"/>
      <c r="AK545" s="30"/>
      <c r="AL545" s="30"/>
      <c r="AM545" s="30"/>
      <c r="AN545" s="30"/>
      <c r="AO545" s="30"/>
      <c r="AP545" s="30"/>
      <c r="AQ545" s="30"/>
    </row>
    <row r="546" spans="1:43" outlineLevel="1">
      <c r="A546" s="44">
        <v>296</v>
      </c>
      <c r="B546" s="37" t="s">
        <v>468</v>
      </c>
      <c r="C546" s="49" t="s">
        <v>469</v>
      </c>
      <c r="D546" s="39" t="s">
        <v>57</v>
      </c>
      <c r="E546" s="55">
        <v>8</v>
      </c>
      <c r="F546" s="43"/>
      <c r="G546" s="43">
        <f>E546*F546</f>
        <v>0</v>
      </c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  <c r="AB546" s="30"/>
      <c r="AC546" s="30"/>
      <c r="AD546" s="30"/>
      <c r="AE546" s="30"/>
      <c r="AF546" s="30"/>
      <c r="AG546" s="30"/>
      <c r="AH546" s="30"/>
      <c r="AI546" s="30"/>
      <c r="AJ546" s="30"/>
      <c r="AK546" s="30"/>
      <c r="AL546" s="30"/>
      <c r="AM546" s="30"/>
      <c r="AN546" s="30"/>
      <c r="AO546" s="30"/>
      <c r="AP546" s="30"/>
      <c r="AQ546" s="30"/>
    </row>
    <row r="547" spans="1:43" outlineLevel="1">
      <c r="A547" s="44"/>
      <c r="B547" s="37"/>
      <c r="C547" s="51" t="s">
        <v>470</v>
      </c>
      <c r="D547" s="41"/>
      <c r="E547" s="57"/>
      <c r="F547" s="43"/>
      <c r="G547" s="43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F547" s="30"/>
      <c r="AG547" s="30"/>
      <c r="AH547" s="30"/>
      <c r="AI547" s="30"/>
      <c r="AJ547" s="30"/>
      <c r="AK547" s="30"/>
      <c r="AL547" s="30"/>
      <c r="AM547" s="30"/>
      <c r="AN547" s="30"/>
      <c r="AO547" s="30"/>
      <c r="AP547" s="30"/>
      <c r="AQ547" s="30"/>
    </row>
    <row r="548" spans="1:43" outlineLevel="1">
      <c r="A548" s="44"/>
      <c r="B548" s="37"/>
      <c r="C548" s="51" t="s">
        <v>471</v>
      </c>
      <c r="D548" s="41"/>
      <c r="E548" s="57">
        <v>8</v>
      </c>
      <c r="F548" s="43"/>
      <c r="G548" s="43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F548" s="30"/>
      <c r="AG548" s="30"/>
      <c r="AH548" s="30"/>
      <c r="AI548" s="30"/>
      <c r="AJ548" s="30"/>
      <c r="AK548" s="30"/>
      <c r="AL548" s="30"/>
      <c r="AM548" s="30"/>
      <c r="AN548" s="30"/>
      <c r="AO548" s="30"/>
      <c r="AP548" s="30"/>
      <c r="AQ548" s="30"/>
    </row>
    <row r="549" spans="1:43" outlineLevel="1">
      <c r="A549" s="44">
        <v>297</v>
      </c>
      <c r="B549" s="37" t="s">
        <v>472</v>
      </c>
      <c r="C549" s="49" t="s">
        <v>473</v>
      </c>
      <c r="D549" s="39" t="s">
        <v>57</v>
      </c>
      <c r="E549" s="55">
        <v>0</v>
      </c>
      <c r="F549" s="43"/>
      <c r="G549" s="43">
        <f>E549*F549</f>
        <v>0</v>
      </c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  <c r="AB549" s="30"/>
      <c r="AC549" s="30"/>
      <c r="AD549" s="30"/>
      <c r="AE549" s="30"/>
      <c r="AF549" s="30"/>
      <c r="AG549" s="30"/>
      <c r="AH549" s="30"/>
      <c r="AI549" s="30"/>
      <c r="AJ549" s="30"/>
      <c r="AK549" s="30"/>
      <c r="AL549" s="30"/>
      <c r="AM549" s="30"/>
      <c r="AN549" s="30"/>
      <c r="AO549" s="30"/>
      <c r="AP549" s="30"/>
      <c r="AQ549" s="30"/>
    </row>
    <row r="550" spans="1:43" outlineLevel="1">
      <c r="A550" s="44"/>
      <c r="B550" s="37"/>
      <c r="C550" s="326" t="s">
        <v>474</v>
      </c>
      <c r="D550" s="383"/>
      <c r="E550" s="383"/>
      <c r="F550" s="383"/>
      <c r="G550" s="384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F550" s="30"/>
      <c r="AG550" s="30"/>
      <c r="AH550" s="30"/>
      <c r="AI550" s="30"/>
      <c r="AJ550" s="36" t="str">
        <f>C550</f>
        <v>včetně montáže, dodávky a demontáže lešení.</v>
      </c>
      <c r="AK550" s="30"/>
      <c r="AL550" s="30"/>
      <c r="AM550" s="30"/>
      <c r="AN550" s="30"/>
      <c r="AO550" s="30"/>
      <c r="AP550" s="30"/>
      <c r="AQ550" s="30"/>
    </row>
    <row r="551" spans="1:43" outlineLevel="1">
      <c r="A551" s="44"/>
      <c r="B551" s="37"/>
      <c r="C551" s="51" t="s">
        <v>238</v>
      </c>
      <c r="D551" s="41"/>
      <c r="E551" s="57"/>
      <c r="F551" s="43"/>
      <c r="G551" s="43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F551" s="30"/>
      <c r="AG551" s="30"/>
      <c r="AH551" s="30"/>
      <c r="AI551" s="30"/>
      <c r="AJ551" s="30"/>
      <c r="AK551" s="30"/>
      <c r="AL551" s="30"/>
      <c r="AM551" s="30"/>
      <c r="AN551" s="30"/>
      <c r="AO551" s="30"/>
      <c r="AP551" s="30"/>
      <c r="AQ551" s="30"/>
    </row>
    <row r="552" spans="1:43" outlineLevel="1">
      <c r="A552" s="44"/>
      <c r="B552" s="37"/>
      <c r="C552" s="51" t="s">
        <v>475</v>
      </c>
      <c r="D552" s="41"/>
      <c r="E552" s="57">
        <v>0</v>
      </c>
      <c r="F552" s="43"/>
      <c r="G552" s="43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  <c r="AB552" s="30"/>
      <c r="AC552" s="30"/>
      <c r="AD552" s="30"/>
      <c r="AE552" s="30"/>
      <c r="AF552" s="30"/>
      <c r="AG552" s="30"/>
      <c r="AH552" s="30"/>
      <c r="AI552" s="30"/>
      <c r="AJ552" s="30"/>
      <c r="AK552" s="30"/>
      <c r="AL552" s="30"/>
      <c r="AM552" s="30"/>
      <c r="AN552" s="30"/>
      <c r="AO552" s="30"/>
      <c r="AP552" s="30"/>
      <c r="AQ552" s="30"/>
    </row>
    <row r="553" spans="1:43" outlineLevel="1">
      <c r="A553" s="44"/>
      <c r="B553" s="37"/>
      <c r="C553" s="51" t="s">
        <v>239</v>
      </c>
      <c r="D553" s="41"/>
      <c r="E553" s="57"/>
      <c r="F553" s="43"/>
      <c r="G553" s="43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F553" s="30"/>
      <c r="AG553" s="30"/>
      <c r="AH553" s="30"/>
      <c r="AI553" s="30"/>
      <c r="AJ553" s="30"/>
      <c r="AK553" s="30"/>
      <c r="AL553" s="30"/>
      <c r="AM553" s="30"/>
      <c r="AN553" s="30"/>
      <c r="AO553" s="30"/>
      <c r="AP553" s="30"/>
      <c r="AQ553" s="30"/>
    </row>
    <row r="554" spans="1:43" outlineLevel="1">
      <c r="A554" s="44"/>
      <c r="B554" s="37"/>
      <c r="C554" s="51" t="s">
        <v>476</v>
      </c>
      <c r="D554" s="41"/>
      <c r="E554" s="57">
        <v>0</v>
      </c>
      <c r="F554" s="43"/>
      <c r="G554" s="43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  <c r="AB554" s="30"/>
      <c r="AC554" s="30"/>
      <c r="AD554" s="30"/>
      <c r="AE554" s="30"/>
      <c r="AF554" s="30"/>
      <c r="AG554" s="30"/>
      <c r="AH554" s="30"/>
      <c r="AI554" s="30"/>
      <c r="AJ554" s="30"/>
      <c r="AK554" s="30"/>
      <c r="AL554" s="30"/>
      <c r="AM554" s="30"/>
      <c r="AN554" s="30"/>
      <c r="AO554" s="30"/>
      <c r="AP554" s="30"/>
      <c r="AQ554" s="30"/>
    </row>
    <row r="555" spans="1:43" outlineLevel="1">
      <c r="A555" s="44"/>
      <c r="B555" s="37"/>
      <c r="C555" s="51" t="s">
        <v>240</v>
      </c>
      <c r="D555" s="41"/>
      <c r="E555" s="57"/>
      <c r="F555" s="43"/>
      <c r="G555" s="43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F555" s="30"/>
      <c r="AG555" s="30"/>
      <c r="AH555" s="30"/>
      <c r="AI555" s="30"/>
      <c r="AJ555" s="30"/>
      <c r="AK555" s="30"/>
      <c r="AL555" s="30"/>
      <c r="AM555" s="30"/>
      <c r="AN555" s="30"/>
      <c r="AO555" s="30"/>
      <c r="AP555" s="30"/>
      <c r="AQ555" s="30"/>
    </row>
    <row r="556" spans="1:43" outlineLevel="1">
      <c r="A556" s="44"/>
      <c r="B556" s="37"/>
      <c r="C556" s="51" t="s">
        <v>477</v>
      </c>
      <c r="D556" s="41"/>
      <c r="E556" s="57">
        <v>0</v>
      </c>
      <c r="F556" s="43"/>
      <c r="G556" s="43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  <c r="AB556" s="30"/>
      <c r="AC556" s="30"/>
      <c r="AD556" s="30"/>
      <c r="AE556" s="30"/>
      <c r="AF556" s="30"/>
      <c r="AG556" s="30"/>
      <c r="AH556" s="30"/>
      <c r="AI556" s="30"/>
      <c r="AJ556" s="30"/>
      <c r="AK556" s="30"/>
      <c r="AL556" s="30"/>
      <c r="AM556" s="30"/>
      <c r="AN556" s="30"/>
      <c r="AO556" s="30"/>
      <c r="AP556" s="30"/>
      <c r="AQ556" s="30"/>
    </row>
    <row r="557" spans="1:43" outlineLevel="1">
      <c r="A557" s="44"/>
      <c r="B557" s="37"/>
      <c r="C557" s="51" t="s">
        <v>241</v>
      </c>
      <c r="D557" s="41"/>
      <c r="E557" s="57"/>
      <c r="F557" s="43"/>
      <c r="G557" s="43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F557" s="30"/>
      <c r="AG557" s="30"/>
      <c r="AH557" s="30"/>
      <c r="AI557" s="30"/>
      <c r="AJ557" s="30"/>
      <c r="AK557" s="30"/>
      <c r="AL557" s="30"/>
      <c r="AM557" s="30"/>
      <c r="AN557" s="30"/>
      <c r="AO557" s="30"/>
      <c r="AP557" s="30"/>
      <c r="AQ557" s="30"/>
    </row>
    <row r="558" spans="1:43" outlineLevel="1">
      <c r="A558" s="44"/>
      <c r="B558" s="37"/>
      <c r="C558" s="51" t="s">
        <v>478</v>
      </c>
      <c r="D558" s="41"/>
      <c r="E558" s="57">
        <v>0</v>
      </c>
      <c r="F558" s="43"/>
      <c r="G558" s="43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F558" s="30"/>
      <c r="AG558" s="30"/>
      <c r="AH558" s="30"/>
      <c r="AI558" s="30"/>
      <c r="AJ558" s="30"/>
      <c r="AK558" s="30"/>
      <c r="AL558" s="30"/>
      <c r="AM558" s="30"/>
      <c r="AN558" s="30"/>
      <c r="AO558" s="30"/>
      <c r="AP558" s="30"/>
      <c r="AQ558" s="30"/>
    </row>
    <row r="559" spans="1:43" outlineLevel="1">
      <c r="A559" s="44"/>
      <c r="B559" s="37"/>
      <c r="C559" s="51" t="s">
        <v>242</v>
      </c>
      <c r="D559" s="41"/>
      <c r="E559" s="57"/>
      <c r="F559" s="43"/>
      <c r="G559" s="43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  <c r="AB559" s="30"/>
      <c r="AC559" s="30"/>
      <c r="AD559" s="30"/>
      <c r="AE559" s="30"/>
      <c r="AF559" s="30"/>
      <c r="AG559" s="30"/>
      <c r="AH559" s="30"/>
      <c r="AI559" s="30"/>
      <c r="AJ559" s="30"/>
      <c r="AK559" s="30"/>
      <c r="AL559" s="30"/>
      <c r="AM559" s="30"/>
      <c r="AN559" s="30"/>
      <c r="AO559" s="30"/>
      <c r="AP559" s="30"/>
      <c r="AQ559" s="30"/>
    </row>
    <row r="560" spans="1:43" outlineLevel="1">
      <c r="A560" s="44"/>
      <c r="B560" s="37"/>
      <c r="C560" s="51" t="s">
        <v>479</v>
      </c>
      <c r="D560" s="41"/>
      <c r="E560" s="57">
        <v>0</v>
      </c>
      <c r="F560" s="43"/>
      <c r="G560" s="43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F560" s="30"/>
      <c r="AG560" s="30"/>
      <c r="AH560" s="30"/>
      <c r="AI560" s="30"/>
      <c r="AJ560" s="30"/>
      <c r="AK560" s="30"/>
      <c r="AL560" s="30"/>
      <c r="AM560" s="30"/>
      <c r="AN560" s="30"/>
      <c r="AO560" s="30"/>
      <c r="AP560" s="30"/>
      <c r="AQ560" s="30"/>
    </row>
    <row r="561" spans="1:43" outlineLevel="1">
      <c r="A561" s="44"/>
      <c r="B561" s="37"/>
      <c r="C561" s="51" t="s">
        <v>243</v>
      </c>
      <c r="D561" s="41"/>
      <c r="E561" s="57"/>
      <c r="F561" s="43"/>
      <c r="G561" s="43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F561" s="30"/>
      <c r="AG561" s="30"/>
      <c r="AH561" s="30"/>
      <c r="AI561" s="30"/>
      <c r="AJ561" s="30"/>
      <c r="AK561" s="30"/>
      <c r="AL561" s="30"/>
      <c r="AM561" s="30"/>
      <c r="AN561" s="30"/>
      <c r="AO561" s="30"/>
      <c r="AP561" s="30"/>
      <c r="AQ561" s="30"/>
    </row>
    <row r="562" spans="1:43" outlineLevel="1">
      <c r="A562" s="44"/>
      <c r="B562" s="37"/>
      <c r="C562" s="51" t="s">
        <v>480</v>
      </c>
      <c r="D562" s="41"/>
      <c r="E562" s="57">
        <v>0</v>
      </c>
      <c r="F562" s="43"/>
      <c r="G562" s="43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  <c r="AB562" s="30"/>
      <c r="AC562" s="30"/>
      <c r="AD562" s="30"/>
      <c r="AE562" s="30"/>
      <c r="AF562" s="30"/>
      <c r="AG562" s="30"/>
      <c r="AH562" s="30"/>
      <c r="AI562" s="30"/>
      <c r="AJ562" s="30"/>
      <c r="AK562" s="30"/>
      <c r="AL562" s="30"/>
      <c r="AM562" s="30"/>
      <c r="AN562" s="30"/>
      <c r="AO562" s="30"/>
      <c r="AP562" s="30"/>
      <c r="AQ562" s="30"/>
    </row>
    <row r="563" spans="1:43" outlineLevel="1">
      <c r="A563" s="44"/>
      <c r="B563" s="37"/>
      <c r="C563" s="51" t="s">
        <v>244</v>
      </c>
      <c r="D563" s="41"/>
      <c r="E563" s="57"/>
      <c r="F563" s="43"/>
      <c r="G563" s="43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F563" s="30"/>
      <c r="AG563" s="30"/>
      <c r="AH563" s="30"/>
      <c r="AI563" s="30"/>
      <c r="AJ563" s="30"/>
      <c r="AK563" s="30"/>
      <c r="AL563" s="30"/>
      <c r="AM563" s="30"/>
      <c r="AN563" s="30"/>
      <c r="AO563" s="30"/>
      <c r="AP563" s="30"/>
      <c r="AQ563" s="30"/>
    </row>
    <row r="564" spans="1:43" outlineLevel="1">
      <c r="A564" s="44"/>
      <c r="B564" s="37"/>
      <c r="C564" s="51" t="s">
        <v>481</v>
      </c>
      <c r="D564" s="41"/>
      <c r="E564" s="57">
        <v>0</v>
      </c>
      <c r="F564" s="43"/>
      <c r="G564" s="43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  <c r="AB564" s="30"/>
      <c r="AC564" s="30"/>
      <c r="AD564" s="30"/>
      <c r="AE564" s="30"/>
      <c r="AF564" s="30"/>
      <c r="AG564" s="30"/>
      <c r="AH564" s="30"/>
      <c r="AI564" s="30"/>
      <c r="AJ564" s="30"/>
      <c r="AK564" s="30"/>
      <c r="AL564" s="30"/>
      <c r="AM564" s="30"/>
      <c r="AN564" s="30"/>
      <c r="AO564" s="30"/>
      <c r="AP564" s="30"/>
      <c r="AQ564" s="30"/>
    </row>
    <row r="565" spans="1:43" outlineLevel="1">
      <c r="A565" s="44"/>
      <c r="B565" s="37"/>
      <c r="C565" s="51" t="s">
        <v>482</v>
      </c>
      <c r="D565" s="41"/>
      <c r="E565" s="57"/>
      <c r="F565" s="43"/>
      <c r="G565" s="43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F565" s="30"/>
      <c r="AG565" s="30"/>
      <c r="AH565" s="30"/>
      <c r="AI565" s="30"/>
      <c r="AJ565" s="30"/>
      <c r="AK565" s="30"/>
      <c r="AL565" s="30"/>
      <c r="AM565" s="30"/>
      <c r="AN565" s="30"/>
      <c r="AO565" s="30"/>
      <c r="AP565" s="30"/>
      <c r="AQ565" s="30"/>
    </row>
    <row r="566" spans="1:43" outlineLevel="1">
      <c r="A566" s="44"/>
      <c r="B566" s="37"/>
      <c r="C566" s="51" t="s">
        <v>483</v>
      </c>
      <c r="D566" s="41"/>
      <c r="E566" s="57">
        <v>0</v>
      </c>
      <c r="F566" s="43"/>
      <c r="G566" s="43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  <c r="AB566" s="30"/>
      <c r="AC566" s="30"/>
      <c r="AD566" s="30"/>
      <c r="AE566" s="30"/>
      <c r="AF566" s="30"/>
      <c r="AG566" s="30"/>
      <c r="AH566" s="30"/>
      <c r="AI566" s="30"/>
      <c r="AJ566" s="30"/>
      <c r="AK566" s="30"/>
      <c r="AL566" s="30"/>
      <c r="AM566" s="30"/>
      <c r="AN566" s="30"/>
      <c r="AO566" s="30"/>
      <c r="AP566" s="30"/>
      <c r="AQ566" s="30"/>
    </row>
    <row r="567" spans="1:43">
      <c r="A567" s="45" t="s">
        <v>49</v>
      </c>
      <c r="B567" s="38" t="s">
        <v>41</v>
      </c>
      <c r="C567" s="50" t="s">
        <v>42</v>
      </c>
      <c r="D567" s="40"/>
      <c r="E567" s="56"/>
      <c r="F567" s="330">
        <f>SUM(G568:G579)</f>
        <v>0</v>
      </c>
      <c r="G567" s="331"/>
    </row>
    <row r="568" spans="1:43" outlineLevel="1">
      <c r="A568" s="44">
        <v>298</v>
      </c>
      <c r="B568" s="37" t="s">
        <v>484</v>
      </c>
      <c r="C568" s="49" t="s">
        <v>485</v>
      </c>
      <c r="D568" s="39" t="s">
        <v>57</v>
      </c>
      <c r="E568" s="55">
        <v>760.56</v>
      </c>
      <c r="F568" s="43"/>
      <c r="G568" s="43">
        <f>E568*F568</f>
        <v>0</v>
      </c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F568" s="30"/>
      <c r="AG568" s="30"/>
      <c r="AH568" s="30"/>
      <c r="AI568" s="30"/>
      <c r="AJ568" s="30"/>
      <c r="AK568" s="30"/>
      <c r="AL568" s="30"/>
      <c r="AM568" s="30"/>
      <c r="AN568" s="30"/>
      <c r="AO568" s="30"/>
      <c r="AP568" s="30"/>
      <c r="AQ568" s="30"/>
    </row>
    <row r="569" spans="1:43" outlineLevel="1">
      <c r="A569" s="44"/>
      <c r="B569" s="37"/>
      <c r="C569" s="51" t="s">
        <v>486</v>
      </c>
      <c r="D569" s="41"/>
      <c r="E569" s="57"/>
      <c r="F569" s="43"/>
      <c r="G569" s="43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F569" s="30"/>
      <c r="AG569" s="30"/>
      <c r="AH569" s="30"/>
      <c r="AI569" s="30"/>
      <c r="AJ569" s="30"/>
      <c r="AK569" s="30"/>
      <c r="AL569" s="30"/>
      <c r="AM569" s="30"/>
      <c r="AN569" s="30"/>
      <c r="AO569" s="30"/>
      <c r="AP569" s="30"/>
      <c r="AQ569" s="30"/>
    </row>
    <row r="570" spans="1:43" outlineLevel="1">
      <c r="A570" s="44"/>
      <c r="B570" s="37"/>
      <c r="C570" s="51" t="s">
        <v>487</v>
      </c>
      <c r="D570" s="41"/>
      <c r="E570" s="57">
        <v>235</v>
      </c>
      <c r="F570" s="43"/>
      <c r="G570" s="43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F570" s="30"/>
      <c r="AG570" s="30"/>
      <c r="AH570" s="30"/>
      <c r="AI570" s="30"/>
      <c r="AJ570" s="30"/>
      <c r="AK570" s="30"/>
      <c r="AL570" s="30"/>
      <c r="AM570" s="30"/>
      <c r="AN570" s="30"/>
      <c r="AO570" s="30"/>
      <c r="AP570" s="30"/>
      <c r="AQ570" s="30"/>
    </row>
    <row r="571" spans="1:43" outlineLevel="1">
      <c r="A571" s="44"/>
      <c r="B571" s="37"/>
      <c r="C571" s="51" t="s">
        <v>488</v>
      </c>
      <c r="D571" s="41"/>
      <c r="E571" s="57">
        <v>525.55999999999995</v>
      </c>
      <c r="F571" s="43"/>
      <c r="G571" s="43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  <c r="AB571" s="30"/>
      <c r="AC571" s="30"/>
      <c r="AD571" s="30"/>
      <c r="AE571" s="30"/>
      <c r="AF571" s="30"/>
      <c r="AG571" s="30"/>
      <c r="AH571" s="30"/>
      <c r="AI571" s="30"/>
      <c r="AJ571" s="30"/>
      <c r="AK571" s="30"/>
      <c r="AL571" s="30"/>
      <c r="AM571" s="30"/>
      <c r="AN571" s="30"/>
      <c r="AO571" s="30"/>
      <c r="AP571" s="30"/>
      <c r="AQ571" s="30"/>
    </row>
    <row r="572" spans="1:43" outlineLevel="1">
      <c r="A572" s="44"/>
      <c r="B572" s="37"/>
      <c r="C572" s="51" t="s">
        <v>489</v>
      </c>
      <c r="D572" s="41"/>
      <c r="E572" s="57"/>
      <c r="F572" s="43"/>
      <c r="G572" s="43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F572" s="30"/>
      <c r="AG572" s="30"/>
      <c r="AH572" s="30"/>
      <c r="AI572" s="30"/>
      <c r="AJ572" s="30"/>
      <c r="AK572" s="30"/>
      <c r="AL572" s="30"/>
      <c r="AM572" s="30"/>
      <c r="AN572" s="30"/>
      <c r="AO572" s="30"/>
      <c r="AP572" s="30"/>
      <c r="AQ572" s="30"/>
    </row>
    <row r="573" spans="1:43" outlineLevel="1">
      <c r="A573" s="44"/>
      <c r="B573" s="37"/>
      <c r="C573" s="51" t="s">
        <v>490</v>
      </c>
      <c r="D573" s="41"/>
      <c r="E573" s="57">
        <v>0</v>
      </c>
      <c r="F573" s="43"/>
      <c r="G573" s="43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  <c r="AB573" s="30"/>
      <c r="AC573" s="30"/>
      <c r="AD573" s="30"/>
      <c r="AE573" s="30"/>
      <c r="AF573" s="30"/>
      <c r="AG573" s="30"/>
      <c r="AH573" s="30"/>
      <c r="AI573" s="30"/>
      <c r="AJ573" s="30"/>
      <c r="AK573" s="30"/>
      <c r="AL573" s="30"/>
      <c r="AM573" s="30"/>
      <c r="AN573" s="30"/>
      <c r="AO573" s="30"/>
      <c r="AP573" s="30"/>
      <c r="AQ573" s="30"/>
    </row>
    <row r="574" spans="1:43" outlineLevel="1">
      <c r="A574" s="44">
        <v>299</v>
      </c>
      <c r="B574" s="37" t="s">
        <v>491</v>
      </c>
      <c r="C574" s="49" t="s">
        <v>492</v>
      </c>
      <c r="D574" s="39" t="s">
        <v>57</v>
      </c>
      <c r="E574" s="55">
        <v>760.56</v>
      </c>
      <c r="F574" s="43"/>
      <c r="G574" s="43">
        <f>E574*F574</f>
        <v>0</v>
      </c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F574" s="30"/>
      <c r="AG574" s="30"/>
      <c r="AH574" s="30"/>
      <c r="AI574" s="30"/>
      <c r="AJ574" s="30"/>
      <c r="AK574" s="30"/>
      <c r="AL574" s="30"/>
      <c r="AM574" s="30"/>
      <c r="AN574" s="30"/>
      <c r="AO574" s="30"/>
      <c r="AP574" s="30"/>
      <c r="AQ574" s="30"/>
    </row>
    <row r="575" spans="1:43" ht="12.75" customHeight="1" outlineLevel="1">
      <c r="A575" s="44"/>
      <c r="B575" s="37"/>
      <c r="C575" s="326" t="s">
        <v>493</v>
      </c>
      <c r="D575" s="383"/>
      <c r="E575" s="383"/>
      <c r="F575" s="383"/>
      <c r="G575" s="384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  <c r="AB575" s="30"/>
      <c r="AC575" s="30"/>
      <c r="AD575" s="30"/>
      <c r="AE575" s="30"/>
      <c r="AF575" s="30"/>
      <c r="AG575" s="30"/>
      <c r="AH575" s="30"/>
      <c r="AI575" s="30"/>
      <c r="AJ575" s="36" t="str">
        <f>C575</f>
        <v>Omyvatelná,otěruvzdorná a propustná pro vodní páry.</v>
      </c>
      <c r="AK575" s="30"/>
      <c r="AL575" s="30"/>
      <c r="AM575" s="30"/>
      <c r="AN575" s="30"/>
      <c r="AO575" s="30"/>
      <c r="AP575" s="30"/>
      <c r="AQ575" s="30"/>
    </row>
    <row r="576" spans="1:43" outlineLevel="1">
      <c r="A576" s="44"/>
      <c r="B576" s="37"/>
      <c r="C576" s="326" t="s">
        <v>494</v>
      </c>
      <c r="D576" s="383"/>
      <c r="E576" s="383"/>
      <c r="F576" s="383"/>
      <c r="G576" s="384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F576" s="30"/>
      <c r="AG576" s="30"/>
      <c r="AH576" s="30"/>
      <c r="AI576" s="30"/>
      <c r="AJ576" s="36" t="str">
        <f>C576</f>
        <v>( odolnost pro mytí min.5000 cyklů )</v>
      </c>
      <c r="AK576" s="30"/>
      <c r="AL576" s="30"/>
      <c r="AM576" s="30"/>
      <c r="AN576" s="30"/>
      <c r="AO576" s="30"/>
      <c r="AP576" s="30"/>
      <c r="AQ576" s="30"/>
    </row>
    <row r="577" spans="1:43" outlineLevel="1">
      <c r="A577" s="44">
        <v>300</v>
      </c>
      <c r="B577" s="37" t="s">
        <v>495</v>
      </c>
      <c r="C577" s="49" t="s">
        <v>496</v>
      </c>
      <c r="D577" s="39" t="s">
        <v>57</v>
      </c>
      <c r="E577" s="55">
        <v>40</v>
      </c>
      <c r="F577" s="43"/>
      <c r="G577" s="43">
        <f>E577*F577</f>
        <v>0</v>
      </c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F577" s="30"/>
      <c r="AG577" s="30"/>
      <c r="AH577" s="30"/>
      <c r="AI577" s="30"/>
      <c r="AJ577" s="30"/>
      <c r="AK577" s="30"/>
      <c r="AL577" s="30"/>
      <c r="AM577" s="30"/>
      <c r="AN577" s="30"/>
      <c r="AO577" s="30"/>
      <c r="AP577" s="30"/>
      <c r="AQ577" s="30"/>
    </row>
    <row r="578" spans="1:43" outlineLevel="1">
      <c r="A578" s="44"/>
      <c r="B578" s="37"/>
      <c r="C578" s="51" t="s">
        <v>497</v>
      </c>
      <c r="D578" s="41"/>
      <c r="E578" s="57"/>
      <c r="F578" s="43"/>
      <c r="G578" s="43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F578" s="30"/>
      <c r="AG578" s="30"/>
      <c r="AH578" s="30"/>
      <c r="AI578" s="30"/>
      <c r="AJ578" s="30"/>
      <c r="AK578" s="30"/>
      <c r="AL578" s="30"/>
      <c r="AM578" s="30"/>
      <c r="AN578" s="30"/>
      <c r="AO578" s="30"/>
      <c r="AP578" s="30"/>
      <c r="AQ578" s="30"/>
    </row>
    <row r="579" spans="1:43" outlineLevel="1">
      <c r="A579" s="44"/>
      <c r="B579" s="37"/>
      <c r="C579" s="51" t="s">
        <v>181</v>
      </c>
      <c r="D579" s="41"/>
      <c r="E579" s="57">
        <v>40</v>
      </c>
      <c r="F579" s="43"/>
      <c r="G579" s="43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F579" s="30"/>
      <c r="AG579" s="30"/>
      <c r="AH579" s="30"/>
      <c r="AI579" s="30"/>
      <c r="AJ579" s="30"/>
      <c r="AK579" s="30"/>
      <c r="AL579" s="30"/>
      <c r="AM579" s="30"/>
      <c r="AN579" s="30"/>
      <c r="AO579" s="30"/>
      <c r="AP579" s="30"/>
      <c r="AQ579" s="30"/>
    </row>
    <row r="580" spans="1:43">
      <c r="A580" s="45" t="s">
        <v>49</v>
      </c>
      <c r="B580" s="38" t="s">
        <v>43</v>
      </c>
      <c r="C580" s="50" t="s">
        <v>44</v>
      </c>
      <c r="D580" s="40"/>
      <c r="E580" s="56"/>
      <c r="F580" s="330">
        <f>SUM(G581:G591)</f>
        <v>0</v>
      </c>
      <c r="G580" s="331"/>
    </row>
    <row r="581" spans="1:43" ht="22.5" outlineLevel="1">
      <c r="A581" s="44">
        <v>301</v>
      </c>
      <c r="B581" s="37" t="s">
        <v>498</v>
      </c>
      <c r="C581" s="49" t="s">
        <v>499</v>
      </c>
      <c r="D581" s="39" t="s">
        <v>158</v>
      </c>
      <c r="E581" s="55">
        <v>4</v>
      </c>
      <c r="F581" s="43"/>
      <c r="G581" s="43">
        <f>E581*F581</f>
        <v>0</v>
      </c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F581" s="30"/>
      <c r="AG581" s="30"/>
      <c r="AH581" s="30"/>
      <c r="AI581" s="30"/>
      <c r="AJ581" s="30"/>
      <c r="AK581" s="30"/>
      <c r="AL581" s="30"/>
      <c r="AM581" s="30"/>
      <c r="AN581" s="30"/>
      <c r="AO581" s="30"/>
      <c r="AP581" s="30"/>
      <c r="AQ581" s="30"/>
    </row>
    <row r="582" spans="1:43" ht="22.5" customHeight="1" outlineLevel="1">
      <c r="A582" s="44"/>
      <c r="B582" s="37"/>
      <c r="C582" s="326" t="s">
        <v>500</v>
      </c>
      <c r="D582" s="383"/>
      <c r="E582" s="383"/>
      <c r="F582" s="383"/>
      <c r="G582" s="384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F582" s="30"/>
      <c r="AG582" s="30"/>
      <c r="AH582" s="30"/>
      <c r="AI582" s="30"/>
      <c r="AJ582" s="36" t="str">
        <f>C582</f>
        <v>Třída reakce na oheň B-s1,d0 dle normy EN 13501-1.Jednosložková izolační PUR pěna s prokazatelnou odolností proti ohni a s dalšími doplňkovými charakteristikami.</v>
      </c>
      <c r="AK582" s="30"/>
      <c r="AL582" s="30"/>
      <c r="AM582" s="30"/>
      <c r="AN582" s="30"/>
      <c r="AO582" s="30"/>
      <c r="AP582" s="30"/>
      <c r="AQ582" s="30"/>
    </row>
    <row r="583" spans="1:43" outlineLevel="1">
      <c r="A583" s="44"/>
      <c r="B583" s="37"/>
      <c r="C583" s="51" t="s">
        <v>501</v>
      </c>
      <c r="D583" s="41"/>
      <c r="E583" s="57">
        <v>4</v>
      </c>
      <c r="F583" s="43"/>
      <c r="G583" s="43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F583" s="30"/>
      <c r="AG583" s="30"/>
      <c r="AH583" s="30"/>
      <c r="AI583" s="30"/>
      <c r="AJ583" s="30"/>
      <c r="AK583" s="30"/>
      <c r="AL583" s="30"/>
      <c r="AM583" s="30"/>
      <c r="AN583" s="30"/>
      <c r="AO583" s="30"/>
      <c r="AP583" s="30"/>
      <c r="AQ583" s="30"/>
    </row>
    <row r="584" spans="1:43" outlineLevel="1">
      <c r="A584" s="44"/>
      <c r="B584" s="37"/>
      <c r="C584" s="51" t="s">
        <v>502</v>
      </c>
      <c r="D584" s="41"/>
      <c r="E584" s="57">
        <v>0</v>
      </c>
      <c r="F584" s="43"/>
      <c r="G584" s="43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F584" s="30"/>
      <c r="AG584" s="30"/>
      <c r="AH584" s="30"/>
      <c r="AI584" s="30"/>
      <c r="AJ584" s="30"/>
      <c r="AK584" s="30"/>
      <c r="AL584" s="30"/>
      <c r="AM584" s="30"/>
      <c r="AN584" s="30"/>
      <c r="AO584" s="30"/>
      <c r="AP584" s="30"/>
      <c r="AQ584" s="30"/>
    </row>
    <row r="585" spans="1:43" ht="22.5" outlineLevel="1">
      <c r="A585" s="44">
        <v>302</v>
      </c>
      <c r="B585" s="37" t="s">
        <v>503</v>
      </c>
      <c r="C585" s="49" t="s">
        <v>504</v>
      </c>
      <c r="D585" s="39" t="s">
        <v>158</v>
      </c>
      <c r="E585" s="55">
        <v>24</v>
      </c>
      <c r="F585" s="43"/>
      <c r="G585" s="43">
        <f>E585*F585</f>
        <v>0</v>
      </c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F585" s="30"/>
      <c r="AG585" s="30"/>
      <c r="AH585" s="30"/>
      <c r="AI585" s="30"/>
      <c r="AJ585" s="30"/>
      <c r="AK585" s="30"/>
      <c r="AL585" s="30"/>
      <c r="AM585" s="30"/>
      <c r="AN585" s="30"/>
      <c r="AO585" s="30"/>
      <c r="AP585" s="30"/>
      <c r="AQ585" s="30"/>
    </row>
    <row r="586" spans="1:43" ht="12.75" customHeight="1" outlineLevel="1">
      <c r="A586" s="44"/>
      <c r="B586" s="37"/>
      <c r="C586" s="326" t="s">
        <v>505</v>
      </c>
      <c r="D586" s="383"/>
      <c r="E586" s="383"/>
      <c r="F586" s="383"/>
      <c r="G586" s="384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F586" s="30"/>
      <c r="AG586" s="30"/>
      <c r="AH586" s="30"/>
      <c r="AI586" s="30"/>
      <c r="AJ586" s="36" t="str">
        <f>C586</f>
        <v>dod + mont, hustota 230-430 g/l, reakce na oheň F,objem 2l, velikost 320/200 mm.</v>
      </c>
      <c r="AK586" s="30"/>
      <c r="AL586" s="30"/>
      <c r="AM586" s="30"/>
      <c r="AN586" s="30"/>
      <c r="AO586" s="30"/>
      <c r="AP586" s="30"/>
      <c r="AQ586" s="30"/>
    </row>
    <row r="587" spans="1:43" outlineLevel="1">
      <c r="A587" s="44"/>
      <c r="B587" s="37"/>
      <c r="C587" s="51" t="s">
        <v>506</v>
      </c>
      <c r="D587" s="41"/>
      <c r="E587" s="57">
        <v>24</v>
      </c>
      <c r="F587" s="43"/>
      <c r="G587" s="43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F587" s="30"/>
      <c r="AG587" s="30"/>
      <c r="AH587" s="30"/>
      <c r="AI587" s="30"/>
      <c r="AJ587" s="30"/>
      <c r="AK587" s="30"/>
      <c r="AL587" s="30"/>
      <c r="AM587" s="30"/>
      <c r="AN587" s="30"/>
      <c r="AO587" s="30"/>
      <c r="AP587" s="30"/>
      <c r="AQ587" s="30"/>
    </row>
    <row r="588" spans="1:43" outlineLevel="1">
      <c r="A588" s="44"/>
      <c r="B588" s="37"/>
      <c r="C588" s="51" t="s">
        <v>507</v>
      </c>
      <c r="D588" s="41"/>
      <c r="E588" s="57">
        <v>0</v>
      </c>
      <c r="F588" s="43"/>
      <c r="G588" s="43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F588" s="30"/>
      <c r="AG588" s="30"/>
      <c r="AH588" s="30"/>
      <c r="AI588" s="30"/>
      <c r="AJ588" s="30"/>
      <c r="AK588" s="30"/>
      <c r="AL588" s="30"/>
      <c r="AM588" s="30"/>
      <c r="AN588" s="30"/>
      <c r="AO588" s="30"/>
      <c r="AP588" s="30"/>
      <c r="AQ588" s="30"/>
    </row>
    <row r="589" spans="1:43" outlineLevel="1">
      <c r="A589" s="44">
        <v>303</v>
      </c>
      <c r="B589" s="37" t="s">
        <v>508</v>
      </c>
      <c r="C589" s="49" t="s">
        <v>509</v>
      </c>
      <c r="D589" s="39" t="s">
        <v>392</v>
      </c>
      <c r="E589" s="55">
        <v>32</v>
      </c>
      <c r="F589" s="43"/>
      <c r="G589" s="43">
        <f>E589*F589</f>
        <v>0</v>
      </c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F589" s="30"/>
      <c r="AG589" s="30"/>
      <c r="AH589" s="30"/>
      <c r="AI589" s="30"/>
      <c r="AJ589" s="30"/>
      <c r="AK589" s="30"/>
      <c r="AL589" s="30"/>
      <c r="AM589" s="30"/>
      <c r="AN589" s="30"/>
      <c r="AO589" s="30"/>
      <c r="AP589" s="30"/>
      <c r="AQ589" s="30"/>
    </row>
    <row r="590" spans="1:43" outlineLevel="1">
      <c r="A590" s="44"/>
      <c r="B590" s="37"/>
      <c r="C590" s="51" t="s">
        <v>510</v>
      </c>
      <c r="D590" s="41"/>
      <c r="E590" s="57">
        <v>32</v>
      </c>
      <c r="F590" s="43"/>
      <c r="G590" s="43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F590" s="30"/>
      <c r="AG590" s="30"/>
      <c r="AH590" s="30"/>
      <c r="AI590" s="30"/>
      <c r="AJ590" s="30"/>
      <c r="AK590" s="30"/>
      <c r="AL590" s="30"/>
      <c r="AM590" s="30"/>
      <c r="AN590" s="30"/>
      <c r="AO590" s="30"/>
      <c r="AP590" s="30"/>
      <c r="AQ590" s="30"/>
    </row>
    <row r="591" spans="1:43" outlineLevel="1">
      <c r="A591" s="44"/>
      <c r="B591" s="37"/>
      <c r="C591" s="51" t="s">
        <v>511</v>
      </c>
      <c r="D591" s="41"/>
      <c r="E591" s="57">
        <v>0</v>
      </c>
      <c r="F591" s="43"/>
      <c r="G591" s="43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  <c r="AB591" s="30"/>
      <c r="AC591" s="30"/>
      <c r="AD591" s="30"/>
      <c r="AE591" s="30"/>
      <c r="AF591" s="30"/>
      <c r="AG591" s="30"/>
      <c r="AH591" s="30"/>
      <c r="AI591" s="30"/>
      <c r="AJ591" s="30"/>
      <c r="AK591" s="30"/>
      <c r="AL591" s="30"/>
      <c r="AM591" s="30"/>
      <c r="AN591" s="30"/>
      <c r="AO591" s="30"/>
      <c r="AP591" s="30"/>
      <c r="AQ591" s="30"/>
    </row>
    <row r="592" spans="1:43">
      <c r="A592" s="45" t="s">
        <v>49</v>
      </c>
      <c r="B592" s="38" t="s">
        <v>45</v>
      </c>
      <c r="C592" s="50" t="s">
        <v>46</v>
      </c>
      <c r="D592" s="40"/>
      <c r="E592" s="56"/>
      <c r="F592" s="330">
        <f>SUM(G593:G593)</f>
        <v>0</v>
      </c>
      <c r="G592" s="331"/>
    </row>
    <row r="593" spans="1:43" outlineLevel="1">
      <c r="A593" s="44">
        <v>304</v>
      </c>
      <c r="B593" s="37" t="s">
        <v>512</v>
      </c>
      <c r="C593" s="49" t="s">
        <v>513</v>
      </c>
      <c r="D593" s="39" t="s">
        <v>52</v>
      </c>
      <c r="E593" s="55">
        <v>5</v>
      </c>
      <c r="F593" s="43"/>
      <c r="G593" s="43">
        <f>E593*F593</f>
        <v>0</v>
      </c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F593" s="30"/>
      <c r="AG593" s="30"/>
      <c r="AH593" s="30"/>
      <c r="AI593" s="30"/>
      <c r="AJ593" s="30"/>
      <c r="AK593" s="30"/>
      <c r="AL593" s="30"/>
      <c r="AM593" s="30"/>
      <c r="AN593" s="30"/>
      <c r="AO593" s="30"/>
      <c r="AP593" s="30"/>
      <c r="AQ593" s="30"/>
    </row>
    <row r="594" spans="1:43">
      <c r="A594" s="45" t="s">
        <v>49</v>
      </c>
      <c r="B594" s="38" t="s">
        <v>47</v>
      </c>
      <c r="C594" s="50" t="s">
        <v>48</v>
      </c>
      <c r="D594" s="40"/>
      <c r="E594" s="56"/>
      <c r="F594" s="330">
        <f>SUM(G595:G612)</f>
        <v>0</v>
      </c>
      <c r="G594" s="331"/>
    </row>
    <row r="595" spans="1:43" outlineLevel="1">
      <c r="A595" s="44">
        <v>306</v>
      </c>
      <c r="B595" s="37" t="s">
        <v>18</v>
      </c>
      <c r="C595" s="49" t="s">
        <v>514</v>
      </c>
      <c r="D595" s="39" t="s">
        <v>151</v>
      </c>
      <c r="E595" s="55">
        <v>540.255</v>
      </c>
      <c r="F595" s="43">
        <v>0</v>
      </c>
      <c r="G595" s="43">
        <f>E595*F595</f>
        <v>0</v>
      </c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  <c r="AB595" s="30"/>
      <c r="AC595" s="30"/>
      <c r="AD595" s="30"/>
      <c r="AE595" s="30"/>
      <c r="AF595" s="30"/>
      <c r="AG595" s="30"/>
      <c r="AH595" s="30"/>
      <c r="AI595" s="30"/>
      <c r="AJ595" s="30"/>
      <c r="AK595" s="30"/>
      <c r="AL595" s="30"/>
      <c r="AM595" s="30"/>
      <c r="AN595" s="30"/>
      <c r="AO595" s="30"/>
      <c r="AP595" s="30"/>
      <c r="AQ595" s="30"/>
    </row>
    <row r="596" spans="1:43" ht="12.75" customHeight="1" outlineLevel="1">
      <c r="A596" s="44"/>
      <c r="B596" s="37"/>
      <c r="C596" s="326" t="s">
        <v>515</v>
      </c>
      <c r="D596" s="383"/>
      <c r="E596" s="383"/>
      <c r="F596" s="383"/>
      <c r="G596" s="384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F596" s="30"/>
      <c r="AG596" s="30"/>
      <c r="AH596" s="30"/>
      <c r="AI596" s="30"/>
      <c r="AJ596" s="36" t="str">
        <f>C596</f>
        <v>Jedná se pouze o výpočet výměr podlah,tyto jsou potom dosazeny do jednotl.oddílů.</v>
      </c>
      <c r="AK596" s="30"/>
      <c r="AL596" s="30"/>
      <c r="AM596" s="30"/>
      <c r="AN596" s="30"/>
      <c r="AO596" s="30"/>
      <c r="AP596" s="30"/>
      <c r="AQ596" s="30"/>
    </row>
    <row r="597" spans="1:43" outlineLevel="1">
      <c r="A597" s="44"/>
      <c r="B597" s="37"/>
      <c r="C597" s="51" t="s">
        <v>516</v>
      </c>
      <c r="D597" s="41"/>
      <c r="E597" s="57"/>
      <c r="F597" s="43"/>
      <c r="G597" s="43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  <c r="AB597" s="30"/>
      <c r="AC597" s="30"/>
      <c r="AD597" s="30"/>
      <c r="AE597" s="30"/>
      <c r="AF597" s="30"/>
      <c r="AG597" s="30"/>
      <c r="AH597" s="30"/>
      <c r="AI597" s="30"/>
      <c r="AJ597" s="30"/>
      <c r="AK597" s="30"/>
      <c r="AL597" s="30"/>
      <c r="AM597" s="30"/>
      <c r="AN597" s="30"/>
      <c r="AO597" s="30"/>
      <c r="AP597" s="30"/>
      <c r="AQ597" s="30"/>
    </row>
    <row r="598" spans="1:43" outlineLevel="1">
      <c r="A598" s="44"/>
      <c r="B598" s="37"/>
      <c r="C598" s="51" t="s">
        <v>517</v>
      </c>
      <c r="D598" s="41"/>
      <c r="E598" s="57">
        <v>47.56</v>
      </c>
      <c r="F598" s="43"/>
      <c r="G598" s="43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F598" s="30"/>
      <c r="AG598" s="30"/>
      <c r="AH598" s="30"/>
      <c r="AI598" s="30"/>
      <c r="AJ598" s="30"/>
      <c r="AK598" s="30"/>
      <c r="AL598" s="30"/>
      <c r="AM598" s="30"/>
      <c r="AN598" s="30"/>
      <c r="AO598" s="30"/>
      <c r="AP598" s="30"/>
      <c r="AQ598" s="30"/>
    </row>
    <row r="599" spans="1:43" outlineLevel="1">
      <c r="A599" s="44"/>
      <c r="B599" s="37"/>
      <c r="C599" s="51" t="s">
        <v>518</v>
      </c>
      <c r="D599" s="41"/>
      <c r="E599" s="57">
        <v>184.48</v>
      </c>
      <c r="F599" s="43"/>
      <c r="G599" s="43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  <c r="AB599" s="30"/>
      <c r="AC599" s="30"/>
      <c r="AD599" s="30"/>
      <c r="AE599" s="30"/>
      <c r="AF599" s="30"/>
      <c r="AG599" s="30"/>
      <c r="AH599" s="30"/>
      <c r="AI599" s="30"/>
      <c r="AJ599" s="30"/>
      <c r="AK599" s="30"/>
      <c r="AL599" s="30"/>
      <c r="AM599" s="30"/>
      <c r="AN599" s="30"/>
      <c r="AO599" s="30"/>
      <c r="AP599" s="30"/>
      <c r="AQ599" s="30"/>
    </row>
    <row r="600" spans="1:43" outlineLevel="1">
      <c r="A600" s="44"/>
      <c r="B600" s="37"/>
      <c r="C600" s="52" t="s">
        <v>56</v>
      </c>
      <c r="D600" s="42"/>
      <c r="E600" s="58">
        <v>232.04</v>
      </c>
      <c r="F600" s="43"/>
      <c r="G600" s="43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F600" s="30"/>
      <c r="AG600" s="30"/>
      <c r="AH600" s="30"/>
      <c r="AI600" s="30"/>
      <c r="AJ600" s="30"/>
      <c r="AK600" s="30"/>
      <c r="AL600" s="30"/>
      <c r="AM600" s="30"/>
      <c r="AN600" s="30"/>
      <c r="AO600" s="30"/>
      <c r="AP600" s="30"/>
      <c r="AQ600" s="30"/>
    </row>
    <row r="601" spans="1:43" outlineLevel="1">
      <c r="A601" s="44"/>
      <c r="B601" s="37"/>
      <c r="C601" s="51" t="s">
        <v>519</v>
      </c>
      <c r="D601" s="41"/>
      <c r="E601" s="57"/>
      <c r="F601" s="43"/>
      <c r="G601" s="43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  <c r="AB601" s="30"/>
      <c r="AC601" s="30"/>
      <c r="AD601" s="30"/>
      <c r="AE601" s="30"/>
      <c r="AF601" s="30"/>
      <c r="AG601" s="30"/>
      <c r="AH601" s="30"/>
      <c r="AI601" s="30"/>
      <c r="AJ601" s="30"/>
      <c r="AK601" s="30"/>
      <c r="AL601" s="30"/>
      <c r="AM601" s="30"/>
      <c r="AN601" s="30"/>
      <c r="AO601" s="30"/>
      <c r="AP601" s="30"/>
      <c r="AQ601" s="30"/>
    </row>
    <row r="602" spans="1:43" outlineLevel="1">
      <c r="A602" s="44"/>
      <c r="B602" s="37"/>
      <c r="C602" s="51" t="s">
        <v>520</v>
      </c>
      <c r="D602" s="41"/>
      <c r="E602" s="57">
        <v>18.47</v>
      </c>
      <c r="F602" s="43"/>
      <c r="G602" s="43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F602" s="30"/>
      <c r="AG602" s="30"/>
      <c r="AH602" s="30"/>
      <c r="AI602" s="30"/>
      <c r="AJ602" s="30"/>
      <c r="AK602" s="30"/>
      <c r="AL602" s="30"/>
      <c r="AM602" s="30"/>
      <c r="AN602" s="30"/>
      <c r="AO602" s="30"/>
      <c r="AP602" s="30"/>
      <c r="AQ602" s="30"/>
    </row>
    <row r="603" spans="1:43" outlineLevel="1">
      <c r="A603" s="44"/>
      <c r="B603" s="37"/>
      <c r="C603" s="51" t="s">
        <v>521</v>
      </c>
      <c r="D603" s="41"/>
      <c r="E603" s="57"/>
      <c r="F603" s="43"/>
      <c r="G603" s="43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  <c r="AB603" s="30"/>
      <c r="AC603" s="30"/>
      <c r="AD603" s="30"/>
      <c r="AE603" s="30"/>
      <c r="AF603" s="30"/>
      <c r="AG603" s="30"/>
      <c r="AH603" s="30"/>
      <c r="AI603" s="30"/>
      <c r="AJ603" s="30"/>
      <c r="AK603" s="30"/>
      <c r="AL603" s="30"/>
      <c r="AM603" s="30"/>
      <c r="AN603" s="30"/>
      <c r="AO603" s="30"/>
      <c r="AP603" s="30"/>
      <c r="AQ603" s="30"/>
    </row>
    <row r="604" spans="1:43" outlineLevel="1">
      <c r="A604" s="44"/>
      <c r="B604" s="37"/>
      <c r="C604" s="51" t="s">
        <v>522</v>
      </c>
      <c r="D604" s="41"/>
      <c r="E604" s="57">
        <v>9.7899999999999991</v>
      </c>
      <c r="F604" s="43"/>
      <c r="G604" s="43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F604" s="30"/>
      <c r="AG604" s="30"/>
      <c r="AH604" s="30"/>
      <c r="AI604" s="30"/>
      <c r="AJ604" s="30"/>
      <c r="AK604" s="30"/>
      <c r="AL604" s="30"/>
      <c r="AM604" s="30"/>
      <c r="AN604" s="30"/>
      <c r="AO604" s="30"/>
      <c r="AP604" s="30"/>
      <c r="AQ604" s="30"/>
    </row>
    <row r="605" spans="1:43" outlineLevel="1">
      <c r="A605" s="44"/>
      <c r="B605" s="37"/>
      <c r="C605" s="51" t="s">
        <v>523</v>
      </c>
      <c r="D605" s="41"/>
      <c r="E605" s="57"/>
      <c r="F605" s="43"/>
      <c r="G605" s="43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  <c r="AB605" s="30"/>
      <c r="AC605" s="30"/>
      <c r="AD605" s="30"/>
      <c r="AE605" s="30"/>
      <c r="AF605" s="30"/>
      <c r="AG605" s="30"/>
      <c r="AH605" s="30"/>
      <c r="AI605" s="30"/>
      <c r="AJ605" s="30"/>
      <c r="AK605" s="30"/>
      <c r="AL605" s="30"/>
      <c r="AM605" s="30"/>
      <c r="AN605" s="30"/>
      <c r="AO605" s="30"/>
      <c r="AP605" s="30"/>
      <c r="AQ605" s="30"/>
    </row>
    <row r="606" spans="1:43" outlineLevel="1">
      <c r="A606" s="44"/>
      <c r="B606" s="37"/>
      <c r="C606" s="51" t="s">
        <v>524</v>
      </c>
      <c r="D606" s="41"/>
      <c r="E606" s="57">
        <v>6.6749999999999998</v>
      </c>
      <c r="F606" s="43"/>
      <c r="G606" s="43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F606" s="30"/>
      <c r="AG606" s="30"/>
      <c r="AH606" s="30"/>
      <c r="AI606" s="30"/>
      <c r="AJ606" s="30"/>
      <c r="AK606" s="30"/>
      <c r="AL606" s="30"/>
      <c r="AM606" s="30"/>
      <c r="AN606" s="30"/>
      <c r="AO606" s="30"/>
      <c r="AP606" s="30"/>
      <c r="AQ606" s="30"/>
    </row>
    <row r="607" spans="1:43" outlineLevel="1">
      <c r="A607" s="44"/>
      <c r="B607" s="37"/>
      <c r="C607" s="51" t="s">
        <v>525</v>
      </c>
      <c r="D607" s="41"/>
      <c r="E607" s="57"/>
      <c r="F607" s="43"/>
      <c r="G607" s="43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F607" s="30"/>
      <c r="AG607" s="30"/>
      <c r="AH607" s="30"/>
      <c r="AI607" s="30"/>
      <c r="AJ607" s="30"/>
      <c r="AK607" s="30"/>
      <c r="AL607" s="30"/>
      <c r="AM607" s="30"/>
      <c r="AN607" s="30"/>
      <c r="AO607" s="30"/>
      <c r="AP607" s="30"/>
      <c r="AQ607" s="30"/>
    </row>
    <row r="608" spans="1:43" outlineLevel="1">
      <c r="A608" s="44"/>
      <c r="B608" s="37"/>
      <c r="C608" s="51" t="s">
        <v>526</v>
      </c>
      <c r="D608" s="41"/>
      <c r="E608" s="57">
        <v>15.75</v>
      </c>
      <c r="F608" s="43"/>
      <c r="G608" s="43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  <c r="AB608" s="30"/>
      <c r="AC608" s="30"/>
      <c r="AD608" s="30"/>
      <c r="AE608" s="30"/>
      <c r="AF608" s="30"/>
      <c r="AG608" s="30"/>
      <c r="AH608" s="30"/>
      <c r="AI608" s="30"/>
      <c r="AJ608" s="30"/>
      <c r="AK608" s="30"/>
      <c r="AL608" s="30"/>
      <c r="AM608" s="30"/>
      <c r="AN608" s="30"/>
      <c r="AO608" s="30"/>
      <c r="AP608" s="30"/>
      <c r="AQ608" s="30"/>
    </row>
    <row r="609" spans="1:43" outlineLevel="1">
      <c r="A609" s="44"/>
      <c r="B609" s="37"/>
      <c r="C609" s="51" t="s">
        <v>527</v>
      </c>
      <c r="D609" s="41"/>
      <c r="E609" s="57"/>
      <c r="F609" s="43"/>
      <c r="G609" s="43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F609" s="30"/>
      <c r="AG609" s="30"/>
      <c r="AH609" s="30"/>
      <c r="AI609" s="30"/>
      <c r="AJ609" s="30"/>
      <c r="AK609" s="30"/>
      <c r="AL609" s="30"/>
      <c r="AM609" s="30"/>
      <c r="AN609" s="30"/>
      <c r="AO609" s="30"/>
      <c r="AP609" s="30"/>
      <c r="AQ609" s="30"/>
    </row>
    <row r="610" spans="1:43" outlineLevel="1">
      <c r="A610" s="44"/>
      <c r="B610" s="37"/>
      <c r="C610" s="51" t="s">
        <v>528</v>
      </c>
      <c r="D610" s="41"/>
      <c r="E610" s="57">
        <v>9.09</v>
      </c>
      <c r="F610" s="43"/>
      <c r="G610" s="43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  <c r="AB610" s="30"/>
      <c r="AC610" s="30"/>
      <c r="AD610" s="30"/>
      <c r="AE610" s="30"/>
      <c r="AF610" s="30"/>
      <c r="AG610" s="30"/>
      <c r="AH610" s="30"/>
      <c r="AI610" s="30"/>
      <c r="AJ610" s="30"/>
      <c r="AK610" s="30"/>
      <c r="AL610" s="30"/>
      <c r="AM610" s="30"/>
      <c r="AN610" s="30"/>
      <c r="AO610" s="30"/>
      <c r="AP610" s="30"/>
      <c r="AQ610" s="30"/>
    </row>
    <row r="611" spans="1:43" outlineLevel="1">
      <c r="A611" s="44"/>
      <c r="B611" s="37"/>
      <c r="C611" s="51" t="s">
        <v>529</v>
      </c>
      <c r="D611" s="41"/>
      <c r="E611" s="57"/>
      <c r="F611" s="43"/>
      <c r="G611" s="43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F611" s="30"/>
      <c r="AG611" s="30"/>
      <c r="AH611" s="30"/>
      <c r="AI611" s="30"/>
      <c r="AJ611" s="30"/>
      <c r="AK611" s="30"/>
      <c r="AL611" s="30"/>
      <c r="AM611" s="30"/>
      <c r="AN611" s="30"/>
      <c r="AO611" s="30"/>
      <c r="AP611" s="30"/>
      <c r="AQ611" s="30"/>
    </row>
    <row r="612" spans="1:43" outlineLevel="1">
      <c r="A612" s="44"/>
      <c r="B612" s="37"/>
      <c r="C612" s="66" t="s">
        <v>530</v>
      </c>
      <c r="D612" s="67"/>
      <c r="E612" s="68">
        <v>248.44</v>
      </c>
      <c r="F612" s="69"/>
      <c r="G612" s="69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  <c r="AB612" s="30"/>
      <c r="AC612" s="30"/>
      <c r="AD612" s="30"/>
      <c r="AE612" s="30"/>
      <c r="AF612" s="30"/>
      <c r="AG612" s="30"/>
      <c r="AH612" s="30"/>
      <c r="AI612" s="30"/>
      <c r="AJ612" s="30"/>
      <c r="AK612" s="30"/>
      <c r="AL612" s="30"/>
      <c r="AM612" s="30"/>
      <c r="AN612" s="30"/>
      <c r="AO612" s="30"/>
      <c r="AP612" s="30"/>
      <c r="AQ612" s="30"/>
    </row>
    <row r="613" spans="1:43">
      <c r="G613" s="60">
        <f>SUBTOTAL(9,G11:G612)</f>
        <v>0</v>
      </c>
      <c r="T613">
        <f>SUM(T1:T612)</f>
        <v>0</v>
      </c>
      <c r="U613">
        <f>SUM(U1:U612)</f>
        <v>0</v>
      </c>
    </row>
    <row r="614" spans="1:43">
      <c r="G614" s="60"/>
    </row>
    <row r="615" spans="1:43">
      <c r="G615" s="60"/>
    </row>
    <row r="618" spans="1:43">
      <c r="G618" s="218"/>
    </row>
  </sheetData>
  <mergeCells count="74">
    <mergeCell ref="C246:G246"/>
    <mergeCell ref="C258:G258"/>
    <mergeCell ref="C263:G263"/>
    <mergeCell ref="C277:G277"/>
    <mergeCell ref="C59:G59"/>
    <mergeCell ref="F11:G11"/>
    <mergeCell ref="C10:G10"/>
    <mergeCell ref="A1:G1"/>
    <mergeCell ref="C2:G2"/>
    <mergeCell ref="C3:G3"/>
    <mergeCell ref="C4:G4"/>
    <mergeCell ref="F7:G7"/>
    <mergeCell ref="C9:G9"/>
    <mergeCell ref="C44:G44"/>
    <mergeCell ref="C55:G55"/>
    <mergeCell ref="C56:G56"/>
    <mergeCell ref="C57:G57"/>
    <mergeCell ref="C58:G58"/>
    <mergeCell ref="F283:G283"/>
    <mergeCell ref="C92:G92"/>
    <mergeCell ref="C63:G63"/>
    <mergeCell ref="C68:G68"/>
    <mergeCell ref="C69:G69"/>
    <mergeCell ref="C70:G70"/>
    <mergeCell ref="C71:G71"/>
    <mergeCell ref="C72:G72"/>
    <mergeCell ref="F100:G100"/>
    <mergeCell ref="C102:G102"/>
    <mergeCell ref="C183:G183"/>
    <mergeCell ref="C189:G189"/>
    <mergeCell ref="F191:G191"/>
    <mergeCell ref="C193:G193"/>
    <mergeCell ref="C239:G239"/>
    <mergeCell ref="F244:G244"/>
    <mergeCell ref="C293:G293"/>
    <mergeCell ref="C301:G301"/>
    <mergeCell ref="F304:G304"/>
    <mergeCell ref="C316:G316"/>
    <mergeCell ref="F287:G287"/>
    <mergeCell ref="C289:G289"/>
    <mergeCell ref="C395:G395"/>
    <mergeCell ref="F360:G360"/>
    <mergeCell ref="C319:G319"/>
    <mergeCell ref="F326:G326"/>
    <mergeCell ref="C334:G334"/>
    <mergeCell ref="C370:G370"/>
    <mergeCell ref="C371:G371"/>
    <mergeCell ref="C389:G389"/>
    <mergeCell ref="C391:G391"/>
    <mergeCell ref="F393:G393"/>
    <mergeCell ref="F442:G442"/>
    <mergeCell ref="C454:G454"/>
    <mergeCell ref="C463:G463"/>
    <mergeCell ref="C434:G434"/>
    <mergeCell ref="C396:G396"/>
    <mergeCell ref="C397:G397"/>
    <mergeCell ref="F413:G413"/>
    <mergeCell ref="F580:G580"/>
    <mergeCell ref="C469:G469"/>
    <mergeCell ref="C474:G474"/>
    <mergeCell ref="C493:G493"/>
    <mergeCell ref="F500:G500"/>
    <mergeCell ref="F533:G533"/>
    <mergeCell ref="C535:G535"/>
    <mergeCell ref="C536:G536"/>
    <mergeCell ref="C550:G550"/>
    <mergeCell ref="F567:G567"/>
    <mergeCell ref="C575:G575"/>
    <mergeCell ref="C576:G576"/>
    <mergeCell ref="C596:G596"/>
    <mergeCell ref="C582:G582"/>
    <mergeCell ref="C586:G586"/>
    <mergeCell ref="F592:G592"/>
    <mergeCell ref="F594:G594"/>
  </mergeCells>
  <pageMargins left="0.59055118110236227" right="0.39370078740157483" top="0.59055118110236227" bottom="0.98425196850393704" header="0.19685039370078741" footer="0.51181102362204722"/>
  <pageSetup paperSize="9" scale="59" fitToHeight="20" orientation="landscape" r:id="rId1"/>
  <headerFooter>
    <oddFooter>&amp;R&amp;"Arial,Obyčejné"Strana &amp;P z &amp;N&amp;L&amp;9Zpracováno programem &amp;"Arial CE,Tučné"BUILDpower S,  © RTS, a.s.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34"/>
  <sheetViews>
    <sheetView workbookViewId="0">
      <selection activeCell="BM115" sqref="BM115"/>
    </sheetView>
  </sheetViews>
  <sheetFormatPr defaultColWidth="11.5703125" defaultRowHeight="12.75"/>
  <cols>
    <col min="1" max="1" width="3.7109375" style="76" customWidth="1"/>
    <col min="2" max="2" width="6.85546875" style="76" bestFit="1" customWidth="1"/>
    <col min="3" max="3" width="15.28515625" style="76" bestFit="1" customWidth="1"/>
    <col min="4" max="4" width="48.85546875" style="76" customWidth="1"/>
    <col min="5" max="5" width="7" style="76" customWidth="1"/>
    <col min="6" max="6" width="9.7109375" style="76" customWidth="1"/>
    <col min="7" max="7" width="12" style="76" customWidth="1"/>
    <col min="8" max="8" width="11" style="76" customWidth="1"/>
    <col min="9" max="10" width="14.28515625" style="76" customWidth="1"/>
    <col min="11" max="13" width="11.7109375" style="76" customWidth="1"/>
    <col min="14" max="46" width="12.140625" style="76" hidden="1" customWidth="1"/>
    <col min="47" max="57" width="11.5703125" style="76" hidden="1" customWidth="1"/>
    <col min="58" max="60" width="0" style="76" hidden="1" customWidth="1"/>
    <col min="61" max="247" width="11.5703125" style="76"/>
    <col min="248" max="248" width="3.7109375" style="76" customWidth="1"/>
    <col min="249" max="249" width="1.7109375" style="76" customWidth="1"/>
    <col min="250" max="250" width="2.28515625" style="76" customWidth="1"/>
    <col min="251" max="251" width="48.85546875" style="76" customWidth="1"/>
    <col min="252" max="252" width="7" style="76" customWidth="1"/>
    <col min="253" max="253" width="9.7109375" style="76" customWidth="1"/>
    <col min="254" max="254" width="12" style="76" customWidth="1"/>
    <col min="255" max="255" width="11" style="76" customWidth="1"/>
    <col min="256" max="257" width="14.28515625" style="76" customWidth="1"/>
    <col min="258" max="260" width="11.7109375" style="76" customWidth="1"/>
    <col min="261" max="261" width="6.7109375" style="76" customWidth="1"/>
    <col min="262" max="262" width="12" style="76" customWidth="1"/>
    <col min="263" max="263" width="9.28515625" style="76" customWidth="1"/>
    <col min="264" max="264" width="12.7109375" style="76" customWidth="1"/>
    <col min="265" max="265" width="6.7109375" style="76" customWidth="1"/>
    <col min="266" max="266" width="10.28515625" style="76" customWidth="1"/>
    <col min="267" max="267" width="11.28515625" style="76" customWidth="1"/>
    <col min="268" max="302" width="12.140625" style="76" customWidth="1"/>
    <col min="303" max="503" width="11.5703125" style="76"/>
    <col min="504" max="504" width="3.7109375" style="76" customWidth="1"/>
    <col min="505" max="505" width="1.7109375" style="76" customWidth="1"/>
    <col min="506" max="506" width="2.28515625" style="76" customWidth="1"/>
    <col min="507" max="507" width="48.85546875" style="76" customWidth="1"/>
    <col min="508" max="508" width="7" style="76" customWidth="1"/>
    <col min="509" max="509" width="9.7109375" style="76" customWidth="1"/>
    <col min="510" max="510" width="12" style="76" customWidth="1"/>
    <col min="511" max="511" width="11" style="76" customWidth="1"/>
    <col min="512" max="513" width="14.28515625" style="76" customWidth="1"/>
    <col min="514" max="516" width="11.7109375" style="76" customWidth="1"/>
    <col min="517" max="517" width="6.7109375" style="76" customWidth="1"/>
    <col min="518" max="518" width="12" style="76" customWidth="1"/>
    <col min="519" max="519" width="9.28515625" style="76" customWidth="1"/>
    <col min="520" max="520" width="12.7109375" style="76" customWidth="1"/>
    <col min="521" max="521" width="6.7109375" style="76" customWidth="1"/>
    <col min="522" max="522" width="10.28515625" style="76" customWidth="1"/>
    <col min="523" max="523" width="11.28515625" style="76" customWidth="1"/>
    <col min="524" max="558" width="12.140625" style="76" customWidth="1"/>
    <col min="559" max="759" width="11.5703125" style="76"/>
    <col min="760" max="760" width="3.7109375" style="76" customWidth="1"/>
    <col min="761" max="761" width="1.7109375" style="76" customWidth="1"/>
    <col min="762" max="762" width="2.28515625" style="76" customWidth="1"/>
    <col min="763" max="763" width="48.85546875" style="76" customWidth="1"/>
    <col min="764" max="764" width="7" style="76" customWidth="1"/>
    <col min="765" max="765" width="9.7109375" style="76" customWidth="1"/>
    <col min="766" max="766" width="12" style="76" customWidth="1"/>
    <col min="767" max="767" width="11" style="76" customWidth="1"/>
    <col min="768" max="769" width="14.28515625" style="76" customWidth="1"/>
    <col min="770" max="772" width="11.7109375" style="76" customWidth="1"/>
    <col min="773" max="773" width="6.7109375" style="76" customWidth="1"/>
    <col min="774" max="774" width="12" style="76" customWidth="1"/>
    <col min="775" max="775" width="9.28515625" style="76" customWidth="1"/>
    <col min="776" max="776" width="12.7109375" style="76" customWidth="1"/>
    <col min="777" max="777" width="6.7109375" style="76" customWidth="1"/>
    <col min="778" max="778" width="10.28515625" style="76" customWidth="1"/>
    <col min="779" max="779" width="11.28515625" style="76" customWidth="1"/>
    <col min="780" max="814" width="12.140625" style="76" customWidth="1"/>
    <col min="815" max="1015" width="11.5703125" style="76"/>
    <col min="1016" max="1016" width="3.7109375" style="76" customWidth="1"/>
    <col min="1017" max="1017" width="1.7109375" style="76" customWidth="1"/>
    <col min="1018" max="1018" width="2.28515625" style="76" customWidth="1"/>
    <col min="1019" max="1019" width="48.85546875" style="76" customWidth="1"/>
    <col min="1020" max="1020" width="7" style="76" customWidth="1"/>
    <col min="1021" max="1021" width="9.7109375" style="76" customWidth="1"/>
    <col min="1022" max="1022" width="12" style="76" customWidth="1"/>
    <col min="1023" max="1023" width="11" style="76" customWidth="1"/>
    <col min="1024" max="1025" width="14.28515625" style="76" customWidth="1"/>
    <col min="1026" max="1028" width="11.7109375" style="76" customWidth="1"/>
    <col min="1029" max="1029" width="6.7109375" style="76" customWidth="1"/>
    <col min="1030" max="1030" width="12" style="76" customWidth="1"/>
    <col min="1031" max="1031" width="9.28515625" style="76" customWidth="1"/>
    <col min="1032" max="1032" width="12.7109375" style="76" customWidth="1"/>
    <col min="1033" max="1033" width="6.7109375" style="76" customWidth="1"/>
    <col min="1034" max="1034" width="10.28515625" style="76" customWidth="1"/>
    <col min="1035" max="1035" width="11.28515625" style="76" customWidth="1"/>
    <col min="1036" max="1070" width="12.140625" style="76" customWidth="1"/>
    <col min="1071" max="1271" width="11.5703125" style="76"/>
    <col min="1272" max="1272" width="3.7109375" style="76" customWidth="1"/>
    <col min="1273" max="1273" width="1.7109375" style="76" customWidth="1"/>
    <col min="1274" max="1274" width="2.28515625" style="76" customWidth="1"/>
    <col min="1275" max="1275" width="48.85546875" style="76" customWidth="1"/>
    <col min="1276" max="1276" width="7" style="76" customWidth="1"/>
    <col min="1277" max="1277" width="9.7109375" style="76" customWidth="1"/>
    <col min="1278" max="1278" width="12" style="76" customWidth="1"/>
    <col min="1279" max="1279" width="11" style="76" customWidth="1"/>
    <col min="1280" max="1281" width="14.28515625" style="76" customWidth="1"/>
    <col min="1282" max="1284" width="11.7109375" style="76" customWidth="1"/>
    <col min="1285" max="1285" width="6.7109375" style="76" customWidth="1"/>
    <col min="1286" max="1286" width="12" style="76" customWidth="1"/>
    <col min="1287" max="1287" width="9.28515625" style="76" customWidth="1"/>
    <col min="1288" max="1288" width="12.7109375" style="76" customWidth="1"/>
    <col min="1289" max="1289" width="6.7109375" style="76" customWidth="1"/>
    <col min="1290" max="1290" width="10.28515625" style="76" customWidth="1"/>
    <col min="1291" max="1291" width="11.28515625" style="76" customWidth="1"/>
    <col min="1292" max="1326" width="12.140625" style="76" customWidth="1"/>
    <col min="1327" max="1527" width="11.5703125" style="76"/>
    <col min="1528" max="1528" width="3.7109375" style="76" customWidth="1"/>
    <col min="1529" max="1529" width="1.7109375" style="76" customWidth="1"/>
    <col min="1530" max="1530" width="2.28515625" style="76" customWidth="1"/>
    <col min="1531" max="1531" width="48.85546875" style="76" customWidth="1"/>
    <col min="1532" max="1532" width="7" style="76" customWidth="1"/>
    <col min="1533" max="1533" width="9.7109375" style="76" customWidth="1"/>
    <col min="1534" max="1534" width="12" style="76" customWidth="1"/>
    <col min="1535" max="1535" width="11" style="76" customWidth="1"/>
    <col min="1536" max="1537" width="14.28515625" style="76" customWidth="1"/>
    <col min="1538" max="1540" width="11.7109375" style="76" customWidth="1"/>
    <col min="1541" max="1541" width="6.7109375" style="76" customWidth="1"/>
    <col min="1542" max="1542" width="12" style="76" customWidth="1"/>
    <col min="1543" max="1543" width="9.28515625" style="76" customWidth="1"/>
    <col min="1544" max="1544" width="12.7109375" style="76" customWidth="1"/>
    <col min="1545" max="1545" width="6.7109375" style="76" customWidth="1"/>
    <col min="1546" max="1546" width="10.28515625" style="76" customWidth="1"/>
    <col min="1547" max="1547" width="11.28515625" style="76" customWidth="1"/>
    <col min="1548" max="1582" width="12.140625" style="76" customWidth="1"/>
    <col min="1583" max="1783" width="11.5703125" style="76"/>
    <col min="1784" max="1784" width="3.7109375" style="76" customWidth="1"/>
    <col min="1785" max="1785" width="1.7109375" style="76" customWidth="1"/>
    <col min="1786" max="1786" width="2.28515625" style="76" customWidth="1"/>
    <col min="1787" max="1787" width="48.85546875" style="76" customWidth="1"/>
    <col min="1788" max="1788" width="7" style="76" customWidth="1"/>
    <col min="1789" max="1789" width="9.7109375" style="76" customWidth="1"/>
    <col min="1790" max="1790" width="12" style="76" customWidth="1"/>
    <col min="1791" max="1791" width="11" style="76" customWidth="1"/>
    <col min="1792" max="1793" width="14.28515625" style="76" customWidth="1"/>
    <col min="1794" max="1796" width="11.7109375" style="76" customWidth="1"/>
    <col min="1797" max="1797" width="6.7109375" style="76" customWidth="1"/>
    <col min="1798" max="1798" width="12" style="76" customWidth="1"/>
    <col min="1799" max="1799" width="9.28515625" style="76" customWidth="1"/>
    <col min="1800" max="1800" width="12.7109375" style="76" customWidth="1"/>
    <col min="1801" max="1801" width="6.7109375" style="76" customWidth="1"/>
    <col min="1802" max="1802" width="10.28515625" style="76" customWidth="1"/>
    <col min="1803" max="1803" width="11.28515625" style="76" customWidth="1"/>
    <col min="1804" max="1838" width="12.140625" style="76" customWidth="1"/>
    <col min="1839" max="2039" width="11.5703125" style="76"/>
    <col min="2040" max="2040" width="3.7109375" style="76" customWidth="1"/>
    <col min="2041" max="2041" width="1.7109375" style="76" customWidth="1"/>
    <col min="2042" max="2042" width="2.28515625" style="76" customWidth="1"/>
    <col min="2043" max="2043" width="48.85546875" style="76" customWidth="1"/>
    <col min="2044" max="2044" width="7" style="76" customWidth="1"/>
    <col min="2045" max="2045" width="9.7109375" style="76" customWidth="1"/>
    <col min="2046" max="2046" width="12" style="76" customWidth="1"/>
    <col min="2047" max="2047" width="11" style="76" customWidth="1"/>
    <col min="2048" max="2049" width="14.28515625" style="76" customWidth="1"/>
    <col min="2050" max="2052" width="11.7109375" style="76" customWidth="1"/>
    <col min="2053" max="2053" width="6.7109375" style="76" customWidth="1"/>
    <col min="2054" max="2054" width="12" style="76" customWidth="1"/>
    <col min="2055" max="2055" width="9.28515625" style="76" customWidth="1"/>
    <col min="2056" max="2056" width="12.7109375" style="76" customWidth="1"/>
    <col min="2057" max="2057" width="6.7109375" style="76" customWidth="1"/>
    <col min="2058" max="2058" width="10.28515625" style="76" customWidth="1"/>
    <col min="2059" max="2059" width="11.28515625" style="76" customWidth="1"/>
    <col min="2060" max="2094" width="12.140625" style="76" customWidth="1"/>
    <col min="2095" max="2295" width="11.5703125" style="76"/>
    <col min="2296" max="2296" width="3.7109375" style="76" customWidth="1"/>
    <col min="2297" max="2297" width="1.7109375" style="76" customWidth="1"/>
    <col min="2298" max="2298" width="2.28515625" style="76" customWidth="1"/>
    <col min="2299" max="2299" width="48.85546875" style="76" customWidth="1"/>
    <col min="2300" max="2300" width="7" style="76" customWidth="1"/>
    <col min="2301" max="2301" width="9.7109375" style="76" customWidth="1"/>
    <col min="2302" max="2302" width="12" style="76" customWidth="1"/>
    <col min="2303" max="2303" width="11" style="76" customWidth="1"/>
    <col min="2304" max="2305" width="14.28515625" style="76" customWidth="1"/>
    <col min="2306" max="2308" width="11.7109375" style="76" customWidth="1"/>
    <col min="2309" max="2309" width="6.7109375" style="76" customWidth="1"/>
    <col min="2310" max="2310" width="12" style="76" customWidth="1"/>
    <col min="2311" max="2311" width="9.28515625" style="76" customWidth="1"/>
    <col min="2312" max="2312" width="12.7109375" style="76" customWidth="1"/>
    <col min="2313" max="2313" width="6.7109375" style="76" customWidth="1"/>
    <col min="2314" max="2314" width="10.28515625" style="76" customWidth="1"/>
    <col min="2315" max="2315" width="11.28515625" style="76" customWidth="1"/>
    <col min="2316" max="2350" width="12.140625" style="76" customWidth="1"/>
    <col min="2351" max="2551" width="11.5703125" style="76"/>
    <col min="2552" max="2552" width="3.7109375" style="76" customWidth="1"/>
    <col min="2553" max="2553" width="1.7109375" style="76" customWidth="1"/>
    <col min="2554" max="2554" width="2.28515625" style="76" customWidth="1"/>
    <col min="2555" max="2555" width="48.85546875" style="76" customWidth="1"/>
    <col min="2556" max="2556" width="7" style="76" customWidth="1"/>
    <col min="2557" max="2557" width="9.7109375" style="76" customWidth="1"/>
    <col min="2558" max="2558" width="12" style="76" customWidth="1"/>
    <col min="2559" max="2559" width="11" style="76" customWidth="1"/>
    <col min="2560" max="2561" width="14.28515625" style="76" customWidth="1"/>
    <col min="2562" max="2564" width="11.7109375" style="76" customWidth="1"/>
    <col min="2565" max="2565" width="6.7109375" style="76" customWidth="1"/>
    <col min="2566" max="2566" width="12" style="76" customWidth="1"/>
    <col min="2567" max="2567" width="9.28515625" style="76" customWidth="1"/>
    <col min="2568" max="2568" width="12.7109375" style="76" customWidth="1"/>
    <col min="2569" max="2569" width="6.7109375" style="76" customWidth="1"/>
    <col min="2570" max="2570" width="10.28515625" style="76" customWidth="1"/>
    <col min="2571" max="2571" width="11.28515625" style="76" customWidth="1"/>
    <col min="2572" max="2606" width="12.140625" style="76" customWidth="1"/>
    <col min="2607" max="2807" width="11.5703125" style="76"/>
    <col min="2808" max="2808" width="3.7109375" style="76" customWidth="1"/>
    <col min="2809" max="2809" width="1.7109375" style="76" customWidth="1"/>
    <col min="2810" max="2810" width="2.28515625" style="76" customWidth="1"/>
    <col min="2811" max="2811" width="48.85546875" style="76" customWidth="1"/>
    <col min="2812" max="2812" width="7" style="76" customWidth="1"/>
    <col min="2813" max="2813" width="9.7109375" style="76" customWidth="1"/>
    <col min="2814" max="2814" width="12" style="76" customWidth="1"/>
    <col min="2815" max="2815" width="11" style="76" customWidth="1"/>
    <col min="2816" max="2817" width="14.28515625" style="76" customWidth="1"/>
    <col min="2818" max="2820" width="11.7109375" style="76" customWidth="1"/>
    <col min="2821" max="2821" width="6.7109375" style="76" customWidth="1"/>
    <col min="2822" max="2822" width="12" style="76" customWidth="1"/>
    <col min="2823" max="2823" width="9.28515625" style="76" customWidth="1"/>
    <col min="2824" max="2824" width="12.7109375" style="76" customWidth="1"/>
    <col min="2825" max="2825" width="6.7109375" style="76" customWidth="1"/>
    <col min="2826" max="2826" width="10.28515625" style="76" customWidth="1"/>
    <col min="2827" max="2827" width="11.28515625" style="76" customWidth="1"/>
    <col min="2828" max="2862" width="12.140625" style="76" customWidth="1"/>
    <col min="2863" max="3063" width="11.5703125" style="76"/>
    <col min="3064" max="3064" width="3.7109375" style="76" customWidth="1"/>
    <col min="3065" max="3065" width="1.7109375" style="76" customWidth="1"/>
    <col min="3066" max="3066" width="2.28515625" style="76" customWidth="1"/>
    <col min="3067" max="3067" width="48.85546875" style="76" customWidth="1"/>
    <col min="3068" max="3068" width="7" style="76" customWidth="1"/>
    <col min="3069" max="3069" width="9.7109375" style="76" customWidth="1"/>
    <col min="3070" max="3070" width="12" style="76" customWidth="1"/>
    <col min="3071" max="3071" width="11" style="76" customWidth="1"/>
    <col min="3072" max="3073" width="14.28515625" style="76" customWidth="1"/>
    <col min="3074" max="3076" width="11.7109375" style="76" customWidth="1"/>
    <col min="3077" max="3077" width="6.7109375" style="76" customWidth="1"/>
    <col min="3078" max="3078" width="12" style="76" customWidth="1"/>
    <col min="3079" max="3079" width="9.28515625" style="76" customWidth="1"/>
    <col min="3080" max="3080" width="12.7109375" style="76" customWidth="1"/>
    <col min="3081" max="3081" width="6.7109375" style="76" customWidth="1"/>
    <col min="3082" max="3082" width="10.28515625" style="76" customWidth="1"/>
    <col min="3083" max="3083" width="11.28515625" style="76" customWidth="1"/>
    <col min="3084" max="3118" width="12.140625" style="76" customWidth="1"/>
    <col min="3119" max="3319" width="11.5703125" style="76"/>
    <col min="3320" max="3320" width="3.7109375" style="76" customWidth="1"/>
    <col min="3321" max="3321" width="1.7109375" style="76" customWidth="1"/>
    <col min="3322" max="3322" width="2.28515625" style="76" customWidth="1"/>
    <col min="3323" max="3323" width="48.85546875" style="76" customWidth="1"/>
    <col min="3324" max="3324" width="7" style="76" customWidth="1"/>
    <col min="3325" max="3325" width="9.7109375" style="76" customWidth="1"/>
    <col min="3326" max="3326" width="12" style="76" customWidth="1"/>
    <col min="3327" max="3327" width="11" style="76" customWidth="1"/>
    <col min="3328" max="3329" width="14.28515625" style="76" customWidth="1"/>
    <col min="3330" max="3332" width="11.7109375" style="76" customWidth="1"/>
    <col min="3333" max="3333" width="6.7109375" style="76" customWidth="1"/>
    <col min="3334" max="3334" width="12" style="76" customWidth="1"/>
    <col min="3335" max="3335" width="9.28515625" style="76" customWidth="1"/>
    <col min="3336" max="3336" width="12.7109375" style="76" customWidth="1"/>
    <col min="3337" max="3337" width="6.7109375" style="76" customWidth="1"/>
    <col min="3338" max="3338" width="10.28515625" style="76" customWidth="1"/>
    <col min="3339" max="3339" width="11.28515625" style="76" customWidth="1"/>
    <col min="3340" max="3374" width="12.140625" style="76" customWidth="1"/>
    <col min="3375" max="3575" width="11.5703125" style="76"/>
    <col min="3576" max="3576" width="3.7109375" style="76" customWidth="1"/>
    <col min="3577" max="3577" width="1.7109375" style="76" customWidth="1"/>
    <col min="3578" max="3578" width="2.28515625" style="76" customWidth="1"/>
    <col min="3579" max="3579" width="48.85546875" style="76" customWidth="1"/>
    <col min="3580" max="3580" width="7" style="76" customWidth="1"/>
    <col min="3581" max="3581" width="9.7109375" style="76" customWidth="1"/>
    <col min="3582" max="3582" width="12" style="76" customWidth="1"/>
    <col min="3583" max="3583" width="11" style="76" customWidth="1"/>
    <col min="3584" max="3585" width="14.28515625" style="76" customWidth="1"/>
    <col min="3586" max="3588" width="11.7109375" style="76" customWidth="1"/>
    <col min="3589" max="3589" width="6.7109375" style="76" customWidth="1"/>
    <col min="3590" max="3590" width="12" style="76" customWidth="1"/>
    <col min="3591" max="3591" width="9.28515625" style="76" customWidth="1"/>
    <col min="3592" max="3592" width="12.7109375" style="76" customWidth="1"/>
    <col min="3593" max="3593" width="6.7109375" style="76" customWidth="1"/>
    <col min="3594" max="3594" width="10.28515625" style="76" customWidth="1"/>
    <col min="3595" max="3595" width="11.28515625" style="76" customWidth="1"/>
    <col min="3596" max="3630" width="12.140625" style="76" customWidth="1"/>
    <col min="3631" max="3831" width="11.5703125" style="76"/>
    <col min="3832" max="3832" width="3.7109375" style="76" customWidth="1"/>
    <col min="3833" max="3833" width="1.7109375" style="76" customWidth="1"/>
    <col min="3834" max="3834" width="2.28515625" style="76" customWidth="1"/>
    <col min="3835" max="3835" width="48.85546875" style="76" customWidth="1"/>
    <col min="3836" max="3836" width="7" style="76" customWidth="1"/>
    <col min="3837" max="3837" width="9.7109375" style="76" customWidth="1"/>
    <col min="3838" max="3838" width="12" style="76" customWidth="1"/>
    <col min="3839" max="3839" width="11" style="76" customWidth="1"/>
    <col min="3840" max="3841" width="14.28515625" style="76" customWidth="1"/>
    <col min="3842" max="3844" width="11.7109375" style="76" customWidth="1"/>
    <col min="3845" max="3845" width="6.7109375" style="76" customWidth="1"/>
    <col min="3846" max="3846" width="12" style="76" customWidth="1"/>
    <col min="3847" max="3847" width="9.28515625" style="76" customWidth="1"/>
    <col min="3848" max="3848" width="12.7109375" style="76" customWidth="1"/>
    <col min="3849" max="3849" width="6.7109375" style="76" customWidth="1"/>
    <col min="3850" max="3850" width="10.28515625" style="76" customWidth="1"/>
    <col min="3851" max="3851" width="11.28515625" style="76" customWidth="1"/>
    <col min="3852" max="3886" width="12.140625" style="76" customWidth="1"/>
    <col min="3887" max="4087" width="11.5703125" style="76"/>
    <col min="4088" max="4088" width="3.7109375" style="76" customWidth="1"/>
    <col min="4089" max="4089" width="1.7109375" style="76" customWidth="1"/>
    <col min="4090" max="4090" width="2.28515625" style="76" customWidth="1"/>
    <col min="4091" max="4091" width="48.85546875" style="76" customWidth="1"/>
    <col min="4092" max="4092" width="7" style="76" customWidth="1"/>
    <col min="4093" max="4093" width="9.7109375" style="76" customWidth="1"/>
    <col min="4094" max="4094" width="12" style="76" customWidth="1"/>
    <col min="4095" max="4095" width="11" style="76" customWidth="1"/>
    <col min="4096" max="4097" width="14.28515625" style="76" customWidth="1"/>
    <col min="4098" max="4100" width="11.7109375" style="76" customWidth="1"/>
    <col min="4101" max="4101" width="6.7109375" style="76" customWidth="1"/>
    <col min="4102" max="4102" width="12" style="76" customWidth="1"/>
    <col min="4103" max="4103" width="9.28515625" style="76" customWidth="1"/>
    <col min="4104" max="4104" width="12.7109375" style="76" customWidth="1"/>
    <col min="4105" max="4105" width="6.7109375" style="76" customWidth="1"/>
    <col min="4106" max="4106" width="10.28515625" style="76" customWidth="1"/>
    <col min="4107" max="4107" width="11.28515625" style="76" customWidth="1"/>
    <col min="4108" max="4142" width="12.140625" style="76" customWidth="1"/>
    <col min="4143" max="4343" width="11.5703125" style="76"/>
    <col min="4344" max="4344" width="3.7109375" style="76" customWidth="1"/>
    <col min="4345" max="4345" width="1.7109375" style="76" customWidth="1"/>
    <col min="4346" max="4346" width="2.28515625" style="76" customWidth="1"/>
    <col min="4347" max="4347" width="48.85546875" style="76" customWidth="1"/>
    <col min="4348" max="4348" width="7" style="76" customWidth="1"/>
    <col min="4349" max="4349" width="9.7109375" style="76" customWidth="1"/>
    <col min="4350" max="4350" width="12" style="76" customWidth="1"/>
    <col min="4351" max="4351" width="11" style="76" customWidth="1"/>
    <col min="4352" max="4353" width="14.28515625" style="76" customWidth="1"/>
    <col min="4354" max="4356" width="11.7109375" style="76" customWidth="1"/>
    <col min="4357" max="4357" width="6.7109375" style="76" customWidth="1"/>
    <col min="4358" max="4358" width="12" style="76" customWidth="1"/>
    <col min="4359" max="4359" width="9.28515625" style="76" customWidth="1"/>
    <col min="4360" max="4360" width="12.7109375" style="76" customWidth="1"/>
    <col min="4361" max="4361" width="6.7109375" style="76" customWidth="1"/>
    <col min="4362" max="4362" width="10.28515625" style="76" customWidth="1"/>
    <col min="4363" max="4363" width="11.28515625" style="76" customWidth="1"/>
    <col min="4364" max="4398" width="12.140625" style="76" customWidth="1"/>
    <col min="4399" max="4599" width="11.5703125" style="76"/>
    <col min="4600" max="4600" width="3.7109375" style="76" customWidth="1"/>
    <col min="4601" max="4601" width="1.7109375" style="76" customWidth="1"/>
    <col min="4602" max="4602" width="2.28515625" style="76" customWidth="1"/>
    <col min="4603" max="4603" width="48.85546875" style="76" customWidth="1"/>
    <col min="4604" max="4604" width="7" style="76" customWidth="1"/>
    <col min="4605" max="4605" width="9.7109375" style="76" customWidth="1"/>
    <col min="4606" max="4606" width="12" style="76" customWidth="1"/>
    <col min="4607" max="4607" width="11" style="76" customWidth="1"/>
    <col min="4608" max="4609" width="14.28515625" style="76" customWidth="1"/>
    <col min="4610" max="4612" width="11.7109375" style="76" customWidth="1"/>
    <col min="4613" max="4613" width="6.7109375" style="76" customWidth="1"/>
    <col min="4614" max="4614" width="12" style="76" customWidth="1"/>
    <col min="4615" max="4615" width="9.28515625" style="76" customWidth="1"/>
    <col min="4616" max="4616" width="12.7109375" style="76" customWidth="1"/>
    <col min="4617" max="4617" width="6.7109375" style="76" customWidth="1"/>
    <col min="4618" max="4618" width="10.28515625" style="76" customWidth="1"/>
    <col min="4619" max="4619" width="11.28515625" style="76" customWidth="1"/>
    <col min="4620" max="4654" width="12.140625" style="76" customWidth="1"/>
    <col min="4655" max="4855" width="11.5703125" style="76"/>
    <col min="4856" max="4856" width="3.7109375" style="76" customWidth="1"/>
    <col min="4857" max="4857" width="1.7109375" style="76" customWidth="1"/>
    <col min="4858" max="4858" width="2.28515625" style="76" customWidth="1"/>
    <col min="4859" max="4859" width="48.85546875" style="76" customWidth="1"/>
    <col min="4860" max="4860" width="7" style="76" customWidth="1"/>
    <col min="4861" max="4861" width="9.7109375" style="76" customWidth="1"/>
    <col min="4862" max="4862" width="12" style="76" customWidth="1"/>
    <col min="4863" max="4863" width="11" style="76" customWidth="1"/>
    <col min="4864" max="4865" width="14.28515625" style="76" customWidth="1"/>
    <col min="4866" max="4868" width="11.7109375" style="76" customWidth="1"/>
    <col min="4869" max="4869" width="6.7109375" style="76" customWidth="1"/>
    <col min="4870" max="4870" width="12" style="76" customWidth="1"/>
    <col min="4871" max="4871" width="9.28515625" style="76" customWidth="1"/>
    <col min="4872" max="4872" width="12.7109375" style="76" customWidth="1"/>
    <col min="4873" max="4873" width="6.7109375" style="76" customWidth="1"/>
    <col min="4874" max="4874" width="10.28515625" style="76" customWidth="1"/>
    <col min="4875" max="4875" width="11.28515625" style="76" customWidth="1"/>
    <col min="4876" max="4910" width="12.140625" style="76" customWidth="1"/>
    <col min="4911" max="5111" width="11.5703125" style="76"/>
    <col min="5112" max="5112" width="3.7109375" style="76" customWidth="1"/>
    <col min="5113" max="5113" width="1.7109375" style="76" customWidth="1"/>
    <col min="5114" max="5114" width="2.28515625" style="76" customWidth="1"/>
    <col min="5115" max="5115" width="48.85546875" style="76" customWidth="1"/>
    <col min="5116" max="5116" width="7" style="76" customWidth="1"/>
    <col min="5117" max="5117" width="9.7109375" style="76" customWidth="1"/>
    <col min="5118" max="5118" width="12" style="76" customWidth="1"/>
    <col min="5119" max="5119" width="11" style="76" customWidth="1"/>
    <col min="5120" max="5121" width="14.28515625" style="76" customWidth="1"/>
    <col min="5122" max="5124" width="11.7109375" style="76" customWidth="1"/>
    <col min="5125" max="5125" width="6.7109375" style="76" customWidth="1"/>
    <col min="5126" max="5126" width="12" style="76" customWidth="1"/>
    <col min="5127" max="5127" width="9.28515625" style="76" customWidth="1"/>
    <col min="5128" max="5128" width="12.7109375" style="76" customWidth="1"/>
    <col min="5129" max="5129" width="6.7109375" style="76" customWidth="1"/>
    <col min="5130" max="5130" width="10.28515625" style="76" customWidth="1"/>
    <col min="5131" max="5131" width="11.28515625" style="76" customWidth="1"/>
    <col min="5132" max="5166" width="12.140625" style="76" customWidth="1"/>
    <col min="5167" max="5367" width="11.5703125" style="76"/>
    <col min="5368" max="5368" width="3.7109375" style="76" customWidth="1"/>
    <col min="5369" max="5369" width="1.7109375" style="76" customWidth="1"/>
    <col min="5370" max="5370" width="2.28515625" style="76" customWidth="1"/>
    <col min="5371" max="5371" width="48.85546875" style="76" customWidth="1"/>
    <col min="5372" max="5372" width="7" style="76" customWidth="1"/>
    <col min="5373" max="5373" width="9.7109375" style="76" customWidth="1"/>
    <col min="5374" max="5374" width="12" style="76" customWidth="1"/>
    <col min="5375" max="5375" width="11" style="76" customWidth="1"/>
    <col min="5376" max="5377" width="14.28515625" style="76" customWidth="1"/>
    <col min="5378" max="5380" width="11.7109375" style="76" customWidth="1"/>
    <col min="5381" max="5381" width="6.7109375" style="76" customWidth="1"/>
    <col min="5382" max="5382" width="12" style="76" customWidth="1"/>
    <col min="5383" max="5383" width="9.28515625" style="76" customWidth="1"/>
    <col min="5384" max="5384" width="12.7109375" style="76" customWidth="1"/>
    <col min="5385" max="5385" width="6.7109375" style="76" customWidth="1"/>
    <col min="5386" max="5386" width="10.28515625" style="76" customWidth="1"/>
    <col min="5387" max="5387" width="11.28515625" style="76" customWidth="1"/>
    <col min="5388" max="5422" width="12.140625" style="76" customWidth="1"/>
    <col min="5423" max="5623" width="11.5703125" style="76"/>
    <col min="5624" max="5624" width="3.7109375" style="76" customWidth="1"/>
    <col min="5625" max="5625" width="1.7109375" style="76" customWidth="1"/>
    <col min="5626" max="5626" width="2.28515625" style="76" customWidth="1"/>
    <col min="5627" max="5627" width="48.85546875" style="76" customWidth="1"/>
    <col min="5628" max="5628" width="7" style="76" customWidth="1"/>
    <col min="5629" max="5629" width="9.7109375" style="76" customWidth="1"/>
    <col min="5630" max="5630" width="12" style="76" customWidth="1"/>
    <col min="5631" max="5631" width="11" style="76" customWidth="1"/>
    <col min="5632" max="5633" width="14.28515625" style="76" customWidth="1"/>
    <col min="5634" max="5636" width="11.7109375" style="76" customWidth="1"/>
    <col min="5637" max="5637" width="6.7109375" style="76" customWidth="1"/>
    <col min="5638" max="5638" width="12" style="76" customWidth="1"/>
    <col min="5639" max="5639" width="9.28515625" style="76" customWidth="1"/>
    <col min="5640" max="5640" width="12.7109375" style="76" customWidth="1"/>
    <col min="5641" max="5641" width="6.7109375" style="76" customWidth="1"/>
    <col min="5642" max="5642" width="10.28515625" style="76" customWidth="1"/>
    <col min="5643" max="5643" width="11.28515625" style="76" customWidth="1"/>
    <col min="5644" max="5678" width="12.140625" style="76" customWidth="1"/>
    <col min="5679" max="5879" width="11.5703125" style="76"/>
    <col min="5880" max="5880" width="3.7109375" style="76" customWidth="1"/>
    <col min="5881" max="5881" width="1.7109375" style="76" customWidth="1"/>
    <col min="5882" max="5882" width="2.28515625" style="76" customWidth="1"/>
    <col min="5883" max="5883" width="48.85546875" style="76" customWidth="1"/>
    <col min="5884" max="5884" width="7" style="76" customWidth="1"/>
    <col min="5885" max="5885" width="9.7109375" style="76" customWidth="1"/>
    <col min="5886" max="5886" width="12" style="76" customWidth="1"/>
    <col min="5887" max="5887" width="11" style="76" customWidth="1"/>
    <col min="5888" max="5889" width="14.28515625" style="76" customWidth="1"/>
    <col min="5890" max="5892" width="11.7109375" style="76" customWidth="1"/>
    <col min="5893" max="5893" width="6.7109375" style="76" customWidth="1"/>
    <col min="5894" max="5894" width="12" style="76" customWidth="1"/>
    <col min="5895" max="5895" width="9.28515625" style="76" customWidth="1"/>
    <col min="5896" max="5896" width="12.7109375" style="76" customWidth="1"/>
    <col min="5897" max="5897" width="6.7109375" style="76" customWidth="1"/>
    <col min="5898" max="5898" width="10.28515625" style="76" customWidth="1"/>
    <col min="5899" max="5899" width="11.28515625" style="76" customWidth="1"/>
    <col min="5900" max="5934" width="12.140625" style="76" customWidth="1"/>
    <col min="5935" max="6135" width="11.5703125" style="76"/>
    <col min="6136" max="6136" width="3.7109375" style="76" customWidth="1"/>
    <col min="6137" max="6137" width="1.7109375" style="76" customWidth="1"/>
    <col min="6138" max="6138" width="2.28515625" style="76" customWidth="1"/>
    <col min="6139" max="6139" width="48.85546875" style="76" customWidth="1"/>
    <col min="6140" max="6140" width="7" style="76" customWidth="1"/>
    <col min="6141" max="6141" width="9.7109375" style="76" customWidth="1"/>
    <col min="6142" max="6142" width="12" style="76" customWidth="1"/>
    <col min="6143" max="6143" width="11" style="76" customWidth="1"/>
    <col min="6144" max="6145" width="14.28515625" style="76" customWidth="1"/>
    <col min="6146" max="6148" width="11.7109375" style="76" customWidth="1"/>
    <col min="6149" max="6149" width="6.7109375" style="76" customWidth="1"/>
    <col min="6150" max="6150" width="12" style="76" customWidth="1"/>
    <col min="6151" max="6151" width="9.28515625" style="76" customWidth="1"/>
    <col min="6152" max="6152" width="12.7109375" style="76" customWidth="1"/>
    <col min="6153" max="6153" width="6.7109375" style="76" customWidth="1"/>
    <col min="6154" max="6154" width="10.28515625" style="76" customWidth="1"/>
    <col min="6155" max="6155" width="11.28515625" style="76" customWidth="1"/>
    <col min="6156" max="6190" width="12.140625" style="76" customWidth="1"/>
    <col min="6191" max="6391" width="11.5703125" style="76"/>
    <col min="6392" max="6392" width="3.7109375" style="76" customWidth="1"/>
    <col min="6393" max="6393" width="1.7109375" style="76" customWidth="1"/>
    <col min="6394" max="6394" width="2.28515625" style="76" customWidth="1"/>
    <col min="6395" max="6395" width="48.85546875" style="76" customWidth="1"/>
    <col min="6396" max="6396" width="7" style="76" customWidth="1"/>
    <col min="6397" max="6397" width="9.7109375" style="76" customWidth="1"/>
    <col min="6398" max="6398" width="12" style="76" customWidth="1"/>
    <col min="6399" max="6399" width="11" style="76" customWidth="1"/>
    <col min="6400" max="6401" width="14.28515625" style="76" customWidth="1"/>
    <col min="6402" max="6404" width="11.7109375" style="76" customWidth="1"/>
    <col min="6405" max="6405" width="6.7109375" style="76" customWidth="1"/>
    <col min="6406" max="6406" width="12" style="76" customWidth="1"/>
    <col min="6407" max="6407" width="9.28515625" style="76" customWidth="1"/>
    <col min="6408" max="6408" width="12.7109375" style="76" customWidth="1"/>
    <col min="6409" max="6409" width="6.7109375" style="76" customWidth="1"/>
    <col min="6410" max="6410" width="10.28515625" style="76" customWidth="1"/>
    <col min="6411" max="6411" width="11.28515625" style="76" customWidth="1"/>
    <col min="6412" max="6446" width="12.140625" style="76" customWidth="1"/>
    <col min="6447" max="6647" width="11.5703125" style="76"/>
    <col min="6648" max="6648" width="3.7109375" style="76" customWidth="1"/>
    <col min="6649" max="6649" width="1.7109375" style="76" customWidth="1"/>
    <col min="6650" max="6650" width="2.28515625" style="76" customWidth="1"/>
    <col min="6651" max="6651" width="48.85546875" style="76" customWidth="1"/>
    <col min="6652" max="6652" width="7" style="76" customWidth="1"/>
    <col min="6653" max="6653" width="9.7109375" style="76" customWidth="1"/>
    <col min="6654" max="6654" width="12" style="76" customWidth="1"/>
    <col min="6655" max="6655" width="11" style="76" customWidth="1"/>
    <col min="6656" max="6657" width="14.28515625" style="76" customWidth="1"/>
    <col min="6658" max="6660" width="11.7109375" style="76" customWidth="1"/>
    <col min="6661" max="6661" width="6.7109375" style="76" customWidth="1"/>
    <col min="6662" max="6662" width="12" style="76" customWidth="1"/>
    <col min="6663" max="6663" width="9.28515625" style="76" customWidth="1"/>
    <col min="6664" max="6664" width="12.7109375" style="76" customWidth="1"/>
    <col min="6665" max="6665" width="6.7109375" style="76" customWidth="1"/>
    <col min="6666" max="6666" width="10.28515625" style="76" customWidth="1"/>
    <col min="6667" max="6667" width="11.28515625" style="76" customWidth="1"/>
    <col min="6668" max="6702" width="12.140625" style="76" customWidth="1"/>
    <col min="6703" max="6903" width="11.5703125" style="76"/>
    <col min="6904" max="6904" width="3.7109375" style="76" customWidth="1"/>
    <col min="6905" max="6905" width="1.7109375" style="76" customWidth="1"/>
    <col min="6906" max="6906" width="2.28515625" style="76" customWidth="1"/>
    <col min="6907" max="6907" width="48.85546875" style="76" customWidth="1"/>
    <col min="6908" max="6908" width="7" style="76" customWidth="1"/>
    <col min="6909" max="6909" width="9.7109375" style="76" customWidth="1"/>
    <col min="6910" max="6910" width="12" style="76" customWidth="1"/>
    <col min="6911" max="6911" width="11" style="76" customWidth="1"/>
    <col min="6912" max="6913" width="14.28515625" style="76" customWidth="1"/>
    <col min="6914" max="6916" width="11.7109375" style="76" customWidth="1"/>
    <col min="6917" max="6917" width="6.7109375" style="76" customWidth="1"/>
    <col min="6918" max="6918" width="12" style="76" customWidth="1"/>
    <col min="6919" max="6919" width="9.28515625" style="76" customWidth="1"/>
    <col min="6920" max="6920" width="12.7109375" style="76" customWidth="1"/>
    <col min="6921" max="6921" width="6.7109375" style="76" customWidth="1"/>
    <col min="6922" max="6922" width="10.28515625" style="76" customWidth="1"/>
    <col min="6923" max="6923" width="11.28515625" style="76" customWidth="1"/>
    <col min="6924" max="6958" width="12.140625" style="76" customWidth="1"/>
    <col min="6959" max="7159" width="11.5703125" style="76"/>
    <col min="7160" max="7160" width="3.7109375" style="76" customWidth="1"/>
    <col min="7161" max="7161" width="1.7109375" style="76" customWidth="1"/>
    <col min="7162" max="7162" width="2.28515625" style="76" customWidth="1"/>
    <col min="7163" max="7163" width="48.85546875" style="76" customWidth="1"/>
    <col min="7164" max="7164" width="7" style="76" customWidth="1"/>
    <col min="7165" max="7165" width="9.7109375" style="76" customWidth="1"/>
    <col min="7166" max="7166" width="12" style="76" customWidth="1"/>
    <col min="7167" max="7167" width="11" style="76" customWidth="1"/>
    <col min="7168" max="7169" width="14.28515625" style="76" customWidth="1"/>
    <col min="7170" max="7172" width="11.7109375" style="76" customWidth="1"/>
    <col min="7173" max="7173" width="6.7109375" style="76" customWidth="1"/>
    <col min="7174" max="7174" width="12" style="76" customWidth="1"/>
    <col min="7175" max="7175" width="9.28515625" style="76" customWidth="1"/>
    <col min="7176" max="7176" width="12.7109375" style="76" customWidth="1"/>
    <col min="7177" max="7177" width="6.7109375" style="76" customWidth="1"/>
    <col min="7178" max="7178" width="10.28515625" style="76" customWidth="1"/>
    <col min="7179" max="7179" width="11.28515625" style="76" customWidth="1"/>
    <col min="7180" max="7214" width="12.140625" style="76" customWidth="1"/>
    <col min="7215" max="7415" width="11.5703125" style="76"/>
    <col min="7416" max="7416" width="3.7109375" style="76" customWidth="1"/>
    <col min="7417" max="7417" width="1.7109375" style="76" customWidth="1"/>
    <col min="7418" max="7418" width="2.28515625" style="76" customWidth="1"/>
    <col min="7419" max="7419" width="48.85546875" style="76" customWidth="1"/>
    <col min="7420" max="7420" width="7" style="76" customWidth="1"/>
    <col min="7421" max="7421" width="9.7109375" style="76" customWidth="1"/>
    <col min="7422" max="7422" width="12" style="76" customWidth="1"/>
    <col min="7423" max="7423" width="11" style="76" customWidth="1"/>
    <col min="7424" max="7425" width="14.28515625" style="76" customWidth="1"/>
    <col min="7426" max="7428" width="11.7109375" style="76" customWidth="1"/>
    <col min="7429" max="7429" width="6.7109375" style="76" customWidth="1"/>
    <col min="7430" max="7430" width="12" style="76" customWidth="1"/>
    <col min="7431" max="7431" width="9.28515625" style="76" customWidth="1"/>
    <col min="7432" max="7432" width="12.7109375" style="76" customWidth="1"/>
    <col min="7433" max="7433" width="6.7109375" style="76" customWidth="1"/>
    <col min="7434" max="7434" width="10.28515625" style="76" customWidth="1"/>
    <col min="7435" max="7435" width="11.28515625" style="76" customWidth="1"/>
    <col min="7436" max="7470" width="12.140625" style="76" customWidth="1"/>
    <col min="7471" max="7671" width="11.5703125" style="76"/>
    <col min="7672" max="7672" width="3.7109375" style="76" customWidth="1"/>
    <col min="7673" max="7673" width="1.7109375" style="76" customWidth="1"/>
    <col min="7674" max="7674" width="2.28515625" style="76" customWidth="1"/>
    <col min="7675" max="7675" width="48.85546875" style="76" customWidth="1"/>
    <col min="7676" max="7676" width="7" style="76" customWidth="1"/>
    <col min="7677" max="7677" width="9.7109375" style="76" customWidth="1"/>
    <col min="7678" max="7678" width="12" style="76" customWidth="1"/>
    <col min="7679" max="7679" width="11" style="76" customWidth="1"/>
    <col min="7680" max="7681" width="14.28515625" style="76" customWidth="1"/>
    <col min="7682" max="7684" width="11.7109375" style="76" customWidth="1"/>
    <col min="7685" max="7685" width="6.7109375" style="76" customWidth="1"/>
    <col min="7686" max="7686" width="12" style="76" customWidth="1"/>
    <col min="7687" max="7687" width="9.28515625" style="76" customWidth="1"/>
    <col min="7688" max="7688" width="12.7109375" style="76" customWidth="1"/>
    <col min="7689" max="7689" width="6.7109375" style="76" customWidth="1"/>
    <col min="7690" max="7690" width="10.28515625" style="76" customWidth="1"/>
    <col min="7691" max="7691" width="11.28515625" style="76" customWidth="1"/>
    <col min="7692" max="7726" width="12.140625" style="76" customWidth="1"/>
    <col min="7727" max="7927" width="11.5703125" style="76"/>
    <col min="7928" max="7928" width="3.7109375" style="76" customWidth="1"/>
    <col min="7929" max="7929" width="1.7109375" style="76" customWidth="1"/>
    <col min="7930" max="7930" width="2.28515625" style="76" customWidth="1"/>
    <col min="7931" max="7931" width="48.85546875" style="76" customWidth="1"/>
    <col min="7932" max="7932" width="7" style="76" customWidth="1"/>
    <col min="7933" max="7933" width="9.7109375" style="76" customWidth="1"/>
    <col min="7934" max="7934" width="12" style="76" customWidth="1"/>
    <col min="7935" max="7935" width="11" style="76" customWidth="1"/>
    <col min="7936" max="7937" width="14.28515625" style="76" customWidth="1"/>
    <col min="7938" max="7940" width="11.7109375" style="76" customWidth="1"/>
    <col min="7941" max="7941" width="6.7109375" style="76" customWidth="1"/>
    <col min="7942" max="7942" width="12" style="76" customWidth="1"/>
    <col min="7943" max="7943" width="9.28515625" style="76" customWidth="1"/>
    <col min="7944" max="7944" width="12.7109375" style="76" customWidth="1"/>
    <col min="7945" max="7945" width="6.7109375" style="76" customWidth="1"/>
    <col min="7946" max="7946" width="10.28515625" style="76" customWidth="1"/>
    <col min="7947" max="7947" width="11.28515625" style="76" customWidth="1"/>
    <col min="7948" max="7982" width="12.140625" style="76" customWidth="1"/>
    <col min="7983" max="8183" width="11.5703125" style="76"/>
    <col min="8184" max="8184" width="3.7109375" style="76" customWidth="1"/>
    <col min="8185" max="8185" width="1.7109375" style="76" customWidth="1"/>
    <col min="8186" max="8186" width="2.28515625" style="76" customWidth="1"/>
    <col min="8187" max="8187" width="48.85546875" style="76" customWidth="1"/>
    <col min="8188" max="8188" width="7" style="76" customWidth="1"/>
    <col min="8189" max="8189" width="9.7109375" style="76" customWidth="1"/>
    <col min="8190" max="8190" width="12" style="76" customWidth="1"/>
    <col min="8191" max="8191" width="11" style="76" customWidth="1"/>
    <col min="8192" max="8193" width="14.28515625" style="76" customWidth="1"/>
    <col min="8194" max="8196" width="11.7109375" style="76" customWidth="1"/>
    <col min="8197" max="8197" width="6.7109375" style="76" customWidth="1"/>
    <col min="8198" max="8198" width="12" style="76" customWidth="1"/>
    <col min="8199" max="8199" width="9.28515625" style="76" customWidth="1"/>
    <col min="8200" max="8200" width="12.7109375" style="76" customWidth="1"/>
    <col min="8201" max="8201" width="6.7109375" style="76" customWidth="1"/>
    <col min="8202" max="8202" width="10.28515625" style="76" customWidth="1"/>
    <col min="8203" max="8203" width="11.28515625" style="76" customWidth="1"/>
    <col min="8204" max="8238" width="12.140625" style="76" customWidth="1"/>
    <col min="8239" max="8439" width="11.5703125" style="76"/>
    <col min="8440" max="8440" width="3.7109375" style="76" customWidth="1"/>
    <col min="8441" max="8441" width="1.7109375" style="76" customWidth="1"/>
    <col min="8442" max="8442" width="2.28515625" style="76" customWidth="1"/>
    <col min="8443" max="8443" width="48.85546875" style="76" customWidth="1"/>
    <col min="8444" max="8444" width="7" style="76" customWidth="1"/>
    <col min="8445" max="8445" width="9.7109375" style="76" customWidth="1"/>
    <col min="8446" max="8446" width="12" style="76" customWidth="1"/>
    <col min="8447" max="8447" width="11" style="76" customWidth="1"/>
    <col min="8448" max="8449" width="14.28515625" style="76" customWidth="1"/>
    <col min="8450" max="8452" width="11.7109375" style="76" customWidth="1"/>
    <col min="8453" max="8453" width="6.7109375" style="76" customWidth="1"/>
    <col min="8454" max="8454" width="12" style="76" customWidth="1"/>
    <col min="8455" max="8455" width="9.28515625" style="76" customWidth="1"/>
    <col min="8456" max="8456" width="12.7109375" style="76" customWidth="1"/>
    <col min="8457" max="8457" width="6.7109375" style="76" customWidth="1"/>
    <col min="8458" max="8458" width="10.28515625" style="76" customWidth="1"/>
    <col min="8459" max="8459" width="11.28515625" style="76" customWidth="1"/>
    <col min="8460" max="8494" width="12.140625" style="76" customWidth="1"/>
    <col min="8495" max="8695" width="11.5703125" style="76"/>
    <col min="8696" max="8696" width="3.7109375" style="76" customWidth="1"/>
    <col min="8697" max="8697" width="1.7109375" style="76" customWidth="1"/>
    <col min="8698" max="8698" width="2.28515625" style="76" customWidth="1"/>
    <col min="8699" max="8699" width="48.85546875" style="76" customWidth="1"/>
    <col min="8700" max="8700" width="7" style="76" customWidth="1"/>
    <col min="8701" max="8701" width="9.7109375" style="76" customWidth="1"/>
    <col min="8702" max="8702" width="12" style="76" customWidth="1"/>
    <col min="8703" max="8703" width="11" style="76" customWidth="1"/>
    <col min="8704" max="8705" width="14.28515625" style="76" customWidth="1"/>
    <col min="8706" max="8708" width="11.7109375" style="76" customWidth="1"/>
    <col min="8709" max="8709" width="6.7109375" style="76" customWidth="1"/>
    <col min="8710" max="8710" width="12" style="76" customWidth="1"/>
    <col min="8711" max="8711" width="9.28515625" style="76" customWidth="1"/>
    <col min="8712" max="8712" width="12.7109375" style="76" customWidth="1"/>
    <col min="8713" max="8713" width="6.7109375" style="76" customWidth="1"/>
    <col min="8714" max="8714" width="10.28515625" style="76" customWidth="1"/>
    <col min="8715" max="8715" width="11.28515625" style="76" customWidth="1"/>
    <col min="8716" max="8750" width="12.140625" style="76" customWidth="1"/>
    <col min="8751" max="8951" width="11.5703125" style="76"/>
    <col min="8952" max="8952" width="3.7109375" style="76" customWidth="1"/>
    <col min="8953" max="8953" width="1.7109375" style="76" customWidth="1"/>
    <col min="8954" max="8954" width="2.28515625" style="76" customWidth="1"/>
    <col min="8955" max="8955" width="48.85546875" style="76" customWidth="1"/>
    <col min="8956" max="8956" width="7" style="76" customWidth="1"/>
    <col min="8957" max="8957" width="9.7109375" style="76" customWidth="1"/>
    <col min="8958" max="8958" width="12" style="76" customWidth="1"/>
    <col min="8959" max="8959" width="11" style="76" customWidth="1"/>
    <col min="8960" max="8961" width="14.28515625" style="76" customWidth="1"/>
    <col min="8962" max="8964" width="11.7109375" style="76" customWidth="1"/>
    <col min="8965" max="8965" width="6.7109375" style="76" customWidth="1"/>
    <col min="8966" max="8966" width="12" style="76" customWidth="1"/>
    <col min="8967" max="8967" width="9.28515625" style="76" customWidth="1"/>
    <col min="8968" max="8968" width="12.7109375" style="76" customWidth="1"/>
    <col min="8969" max="8969" width="6.7109375" style="76" customWidth="1"/>
    <col min="8970" max="8970" width="10.28515625" style="76" customWidth="1"/>
    <col min="8971" max="8971" width="11.28515625" style="76" customWidth="1"/>
    <col min="8972" max="9006" width="12.140625" style="76" customWidth="1"/>
    <col min="9007" max="9207" width="11.5703125" style="76"/>
    <col min="9208" max="9208" width="3.7109375" style="76" customWidth="1"/>
    <col min="9209" max="9209" width="1.7109375" style="76" customWidth="1"/>
    <col min="9210" max="9210" width="2.28515625" style="76" customWidth="1"/>
    <col min="9211" max="9211" width="48.85546875" style="76" customWidth="1"/>
    <col min="9212" max="9212" width="7" style="76" customWidth="1"/>
    <col min="9213" max="9213" width="9.7109375" style="76" customWidth="1"/>
    <col min="9214" max="9214" width="12" style="76" customWidth="1"/>
    <col min="9215" max="9215" width="11" style="76" customWidth="1"/>
    <col min="9216" max="9217" width="14.28515625" style="76" customWidth="1"/>
    <col min="9218" max="9220" width="11.7109375" style="76" customWidth="1"/>
    <col min="9221" max="9221" width="6.7109375" style="76" customWidth="1"/>
    <col min="9222" max="9222" width="12" style="76" customWidth="1"/>
    <col min="9223" max="9223" width="9.28515625" style="76" customWidth="1"/>
    <col min="9224" max="9224" width="12.7109375" style="76" customWidth="1"/>
    <col min="9225" max="9225" width="6.7109375" style="76" customWidth="1"/>
    <col min="9226" max="9226" width="10.28515625" style="76" customWidth="1"/>
    <col min="9227" max="9227" width="11.28515625" style="76" customWidth="1"/>
    <col min="9228" max="9262" width="12.140625" style="76" customWidth="1"/>
    <col min="9263" max="9463" width="11.5703125" style="76"/>
    <col min="9464" max="9464" width="3.7109375" style="76" customWidth="1"/>
    <col min="9465" max="9465" width="1.7109375" style="76" customWidth="1"/>
    <col min="9466" max="9466" width="2.28515625" style="76" customWidth="1"/>
    <col min="9467" max="9467" width="48.85546875" style="76" customWidth="1"/>
    <col min="9468" max="9468" width="7" style="76" customWidth="1"/>
    <col min="9469" max="9469" width="9.7109375" style="76" customWidth="1"/>
    <col min="9470" max="9470" width="12" style="76" customWidth="1"/>
    <col min="9471" max="9471" width="11" style="76" customWidth="1"/>
    <col min="9472" max="9473" width="14.28515625" style="76" customWidth="1"/>
    <col min="9474" max="9476" width="11.7109375" style="76" customWidth="1"/>
    <col min="9477" max="9477" width="6.7109375" style="76" customWidth="1"/>
    <col min="9478" max="9478" width="12" style="76" customWidth="1"/>
    <col min="9479" max="9479" width="9.28515625" style="76" customWidth="1"/>
    <col min="9480" max="9480" width="12.7109375" style="76" customWidth="1"/>
    <col min="9481" max="9481" width="6.7109375" style="76" customWidth="1"/>
    <col min="9482" max="9482" width="10.28515625" style="76" customWidth="1"/>
    <col min="9483" max="9483" width="11.28515625" style="76" customWidth="1"/>
    <col min="9484" max="9518" width="12.140625" style="76" customWidth="1"/>
    <col min="9519" max="9719" width="11.5703125" style="76"/>
    <col min="9720" max="9720" width="3.7109375" style="76" customWidth="1"/>
    <col min="9721" max="9721" width="1.7109375" style="76" customWidth="1"/>
    <col min="9722" max="9722" width="2.28515625" style="76" customWidth="1"/>
    <col min="9723" max="9723" width="48.85546875" style="76" customWidth="1"/>
    <col min="9724" max="9724" width="7" style="76" customWidth="1"/>
    <col min="9725" max="9725" width="9.7109375" style="76" customWidth="1"/>
    <col min="9726" max="9726" width="12" style="76" customWidth="1"/>
    <col min="9727" max="9727" width="11" style="76" customWidth="1"/>
    <col min="9728" max="9729" width="14.28515625" style="76" customWidth="1"/>
    <col min="9730" max="9732" width="11.7109375" style="76" customWidth="1"/>
    <col min="9733" max="9733" width="6.7109375" style="76" customWidth="1"/>
    <col min="9734" max="9734" width="12" style="76" customWidth="1"/>
    <col min="9735" max="9735" width="9.28515625" style="76" customWidth="1"/>
    <col min="9736" max="9736" width="12.7109375" style="76" customWidth="1"/>
    <col min="9737" max="9737" width="6.7109375" style="76" customWidth="1"/>
    <col min="9738" max="9738" width="10.28515625" style="76" customWidth="1"/>
    <col min="9739" max="9739" width="11.28515625" style="76" customWidth="1"/>
    <col min="9740" max="9774" width="12.140625" style="76" customWidth="1"/>
    <col min="9775" max="9975" width="11.5703125" style="76"/>
    <col min="9976" max="9976" width="3.7109375" style="76" customWidth="1"/>
    <col min="9977" max="9977" width="1.7109375" style="76" customWidth="1"/>
    <col min="9978" max="9978" width="2.28515625" style="76" customWidth="1"/>
    <col min="9979" max="9979" width="48.85546875" style="76" customWidth="1"/>
    <col min="9980" max="9980" width="7" style="76" customWidth="1"/>
    <col min="9981" max="9981" width="9.7109375" style="76" customWidth="1"/>
    <col min="9982" max="9982" width="12" style="76" customWidth="1"/>
    <col min="9983" max="9983" width="11" style="76" customWidth="1"/>
    <col min="9984" max="9985" width="14.28515625" style="76" customWidth="1"/>
    <col min="9986" max="9988" width="11.7109375" style="76" customWidth="1"/>
    <col min="9989" max="9989" width="6.7109375" style="76" customWidth="1"/>
    <col min="9990" max="9990" width="12" style="76" customWidth="1"/>
    <col min="9991" max="9991" width="9.28515625" style="76" customWidth="1"/>
    <col min="9992" max="9992" width="12.7109375" style="76" customWidth="1"/>
    <col min="9993" max="9993" width="6.7109375" style="76" customWidth="1"/>
    <col min="9994" max="9994" width="10.28515625" style="76" customWidth="1"/>
    <col min="9995" max="9995" width="11.28515625" style="76" customWidth="1"/>
    <col min="9996" max="10030" width="12.140625" style="76" customWidth="1"/>
    <col min="10031" max="10231" width="11.5703125" style="76"/>
    <col min="10232" max="10232" width="3.7109375" style="76" customWidth="1"/>
    <col min="10233" max="10233" width="1.7109375" style="76" customWidth="1"/>
    <col min="10234" max="10234" width="2.28515625" style="76" customWidth="1"/>
    <col min="10235" max="10235" width="48.85546875" style="76" customWidth="1"/>
    <col min="10236" max="10236" width="7" style="76" customWidth="1"/>
    <col min="10237" max="10237" width="9.7109375" style="76" customWidth="1"/>
    <col min="10238" max="10238" width="12" style="76" customWidth="1"/>
    <col min="10239" max="10239" width="11" style="76" customWidth="1"/>
    <col min="10240" max="10241" width="14.28515625" style="76" customWidth="1"/>
    <col min="10242" max="10244" width="11.7109375" style="76" customWidth="1"/>
    <col min="10245" max="10245" width="6.7109375" style="76" customWidth="1"/>
    <col min="10246" max="10246" width="12" style="76" customWidth="1"/>
    <col min="10247" max="10247" width="9.28515625" style="76" customWidth="1"/>
    <col min="10248" max="10248" width="12.7109375" style="76" customWidth="1"/>
    <col min="10249" max="10249" width="6.7109375" style="76" customWidth="1"/>
    <col min="10250" max="10250" width="10.28515625" style="76" customWidth="1"/>
    <col min="10251" max="10251" width="11.28515625" style="76" customWidth="1"/>
    <col min="10252" max="10286" width="12.140625" style="76" customWidth="1"/>
    <col min="10287" max="10487" width="11.5703125" style="76"/>
    <col min="10488" max="10488" width="3.7109375" style="76" customWidth="1"/>
    <col min="10489" max="10489" width="1.7109375" style="76" customWidth="1"/>
    <col min="10490" max="10490" width="2.28515625" style="76" customWidth="1"/>
    <col min="10491" max="10491" width="48.85546875" style="76" customWidth="1"/>
    <col min="10492" max="10492" width="7" style="76" customWidth="1"/>
    <col min="10493" max="10493" width="9.7109375" style="76" customWidth="1"/>
    <col min="10494" max="10494" width="12" style="76" customWidth="1"/>
    <col min="10495" max="10495" width="11" style="76" customWidth="1"/>
    <col min="10496" max="10497" width="14.28515625" style="76" customWidth="1"/>
    <col min="10498" max="10500" width="11.7109375" style="76" customWidth="1"/>
    <col min="10501" max="10501" width="6.7109375" style="76" customWidth="1"/>
    <col min="10502" max="10502" width="12" style="76" customWidth="1"/>
    <col min="10503" max="10503" width="9.28515625" style="76" customWidth="1"/>
    <col min="10504" max="10504" width="12.7109375" style="76" customWidth="1"/>
    <col min="10505" max="10505" width="6.7109375" style="76" customWidth="1"/>
    <col min="10506" max="10506" width="10.28515625" style="76" customWidth="1"/>
    <col min="10507" max="10507" width="11.28515625" style="76" customWidth="1"/>
    <col min="10508" max="10542" width="12.140625" style="76" customWidth="1"/>
    <col min="10543" max="10743" width="11.5703125" style="76"/>
    <col min="10744" max="10744" width="3.7109375" style="76" customWidth="1"/>
    <col min="10745" max="10745" width="1.7109375" style="76" customWidth="1"/>
    <col min="10746" max="10746" width="2.28515625" style="76" customWidth="1"/>
    <col min="10747" max="10747" width="48.85546875" style="76" customWidth="1"/>
    <col min="10748" max="10748" width="7" style="76" customWidth="1"/>
    <col min="10749" max="10749" width="9.7109375" style="76" customWidth="1"/>
    <col min="10750" max="10750" width="12" style="76" customWidth="1"/>
    <col min="10751" max="10751" width="11" style="76" customWidth="1"/>
    <col min="10752" max="10753" width="14.28515625" style="76" customWidth="1"/>
    <col min="10754" max="10756" width="11.7109375" style="76" customWidth="1"/>
    <col min="10757" max="10757" width="6.7109375" style="76" customWidth="1"/>
    <col min="10758" max="10758" width="12" style="76" customWidth="1"/>
    <col min="10759" max="10759" width="9.28515625" style="76" customWidth="1"/>
    <col min="10760" max="10760" width="12.7109375" style="76" customWidth="1"/>
    <col min="10761" max="10761" width="6.7109375" style="76" customWidth="1"/>
    <col min="10762" max="10762" width="10.28515625" style="76" customWidth="1"/>
    <col min="10763" max="10763" width="11.28515625" style="76" customWidth="1"/>
    <col min="10764" max="10798" width="12.140625" style="76" customWidth="1"/>
    <col min="10799" max="10999" width="11.5703125" style="76"/>
    <col min="11000" max="11000" width="3.7109375" style="76" customWidth="1"/>
    <col min="11001" max="11001" width="1.7109375" style="76" customWidth="1"/>
    <col min="11002" max="11002" width="2.28515625" style="76" customWidth="1"/>
    <col min="11003" max="11003" width="48.85546875" style="76" customWidth="1"/>
    <col min="11004" max="11004" width="7" style="76" customWidth="1"/>
    <col min="11005" max="11005" width="9.7109375" style="76" customWidth="1"/>
    <col min="11006" max="11006" width="12" style="76" customWidth="1"/>
    <col min="11007" max="11007" width="11" style="76" customWidth="1"/>
    <col min="11008" max="11009" width="14.28515625" style="76" customWidth="1"/>
    <col min="11010" max="11012" width="11.7109375" style="76" customWidth="1"/>
    <col min="11013" max="11013" width="6.7109375" style="76" customWidth="1"/>
    <col min="11014" max="11014" width="12" style="76" customWidth="1"/>
    <col min="11015" max="11015" width="9.28515625" style="76" customWidth="1"/>
    <col min="11016" max="11016" width="12.7109375" style="76" customWidth="1"/>
    <col min="11017" max="11017" width="6.7109375" style="76" customWidth="1"/>
    <col min="11018" max="11018" width="10.28515625" style="76" customWidth="1"/>
    <col min="11019" max="11019" width="11.28515625" style="76" customWidth="1"/>
    <col min="11020" max="11054" width="12.140625" style="76" customWidth="1"/>
    <col min="11055" max="11255" width="11.5703125" style="76"/>
    <col min="11256" max="11256" width="3.7109375" style="76" customWidth="1"/>
    <col min="11257" max="11257" width="1.7109375" style="76" customWidth="1"/>
    <col min="11258" max="11258" width="2.28515625" style="76" customWidth="1"/>
    <col min="11259" max="11259" width="48.85546875" style="76" customWidth="1"/>
    <col min="11260" max="11260" width="7" style="76" customWidth="1"/>
    <col min="11261" max="11261" width="9.7109375" style="76" customWidth="1"/>
    <col min="11262" max="11262" width="12" style="76" customWidth="1"/>
    <col min="11263" max="11263" width="11" style="76" customWidth="1"/>
    <col min="11264" max="11265" width="14.28515625" style="76" customWidth="1"/>
    <col min="11266" max="11268" width="11.7109375" style="76" customWidth="1"/>
    <col min="11269" max="11269" width="6.7109375" style="76" customWidth="1"/>
    <col min="11270" max="11270" width="12" style="76" customWidth="1"/>
    <col min="11271" max="11271" width="9.28515625" style="76" customWidth="1"/>
    <col min="11272" max="11272" width="12.7109375" style="76" customWidth="1"/>
    <col min="11273" max="11273" width="6.7109375" style="76" customWidth="1"/>
    <col min="11274" max="11274" width="10.28515625" style="76" customWidth="1"/>
    <col min="11275" max="11275" width="11.28515625" style="76" customWidth="1"/>
    <col min="11276" max="11310" width="12.140625" style="76" customWidth="1"/>
    <col min="11311" max="11511" width="11.5703125" style="76"/>
    <col min="11512" max="11512" width="3.7109375" style="76" customWidth="1"/>
    <col min="11513" max="11513" width="1.7109375" style="76" customWidth="1"/>
    <col min="11514" max="11514" width="2.28515625" style="76" customWidth="1"/>
    <col min="11515" max="11515" width="48.85546875" style="76" customWidth="1"/>
    <col min="11516" max="11516" width="7" style="76" customWidth="1"/>
    <col min="11517" max="11517" width="9.7109375" style="76" customWidth="1"/>
    <col min="11518" max="11518" width="12" style="76" customWidth="1"/>
    <col min="11519" max="11519" width="11" style="76" customWidth="1"/>
    <col min="11520" max="11521" width="14.28515625" style="76" customWidth="1"/>
    <col min="11522" max="11524" width="11.7109375" style="76" customWidth="1"/>
    <col min="11525" max="11525" width="6.7109375" style="76" customWidth="1"/>
    <col min="11526" max="11526" width="12" style="76" customWidth="1"/>
    <col min="11527" max="11527" width="9.28515625" style="76" customWidth="1"/>
    <col min="11528" max="11528" width="12.7109375" style="76" customWidth="1"/>
    <col min="11529" max="11529" width="6.7109375" style="76" customWidth="1"/>
    <col min="11530" max="11530" width="10.28515625" style="76" customWidth="1"/>
    <col min="11531" max="11531" width="11.28515625" style="76" customWidth="1"/>
    <col min="11532" max="11566" width="12.140625" style="76" customWidth="1"/>
    <col min="11567" max="11767" width="11.5703125" style="76"/>
    <col min="11768" max="11768" width="3.7109375" style="76" customWidth="1"/>
    <col min="11769" max="11769" width="1.7109375" style="76" customWidth="1"/>
    <col min="11770" max="11770" width="2.28515625" style="76" customWidth="1"/>
    <col min="11771" max="11771" width="48.85546875" style="76" customWidth="1"/>
    <col min="11772" max="11772" width="7" style="76" customWidth="1"/>
    <col min="11773" max="11773" width="9.7109375" style="76" customWidth="1"/>
    <col min="11774" max="11774" width="12" style="76" customWidth="1"/>
    <col min="11775" max="11775" width="11" style="76" customWidth="1"/>
    <col min="11776" max="11777" width="14.28515625" style="76" customWidth="1"/>
    <col min="11778" max="11780" width="11.7109375" style="76" customWidth="1"/>
    <col min="11781" max="11781" width="6.7109375" style="76" customWidth="1"/>
    <col min="11782" max="11782" width="12" style="76" customWidth="1"/>
    <col min="11783" max="11783" width="9.28515625" style="76" customWidth="1"/>
    <col min="11784" max="11784" width="12.7109375" style="76" customWidth="1"/>
    <col min="11785" max="11785" width="6.7109375" style="76" customWidth="1"/>
    <col min="11786" max="11786" width="10.28515625" style="76" customWidth="1"/>
    <col min="11787" max="11787" width="11.28515625" style="76" customWidth="1"/>
    <col min="11788" max="11822" width="12.140625" style="76" customWidth="1"/>
    <col min="11823" max="12023" width="11.5703125" style="76"/>
    <col min="12024" max="12024" width="3.7109375" style="76" customWidth="1"/>
    <col min="12025" max="12025" width="1.7109375" style="76" customWidth="1"/>
    <col min="12026" max="12026" width="2.28515625" style="76" customWidth="1"/>
    <col min="12027" max="12027" width="48.85546875" style="76" customWidth="1"/>
    <col min="12028" max="12028" width="7" style="76" customWidth="1"/>
    <col min="12029" max="12029" width="9.7109375" style="76" customWidth="1"/>
    <col min="12030" max="12030" width="12" style="76" customWidth="1"/>
    <col min="12031" max="12031" width="11" style="76" customWidth="1"/>
    <col min="12032" max="12033" width="14.28515625" style="76" customWidth="1"/>
    <col min="12034" max="12036" width="11.7109375" style="76" customWidth="1"/>
    <col min="12037" max="12037" width="6.7109375" style="76" customWidth="1"/>
    <col min="12038" max="12038" width="12" style="76" customWidth="1"/>
    <col min="12039" max="12039" width="9.28515625" style="76" customWidth="1"/>
    <col min="12040" max="12040" width="12.7109375" style="76" customWidth="1"/>
    <col min="12041" max="12041" width="6.7109375" style="76" customWidth="1"/>
    <col min="12042" max="12042" width="10.28515625" style="76" customWidth="1"/>
    <col min="12043" max="12043" width="11.28515625" style="76" customWidth="1"/>
    <col min="12044" max="12078" width="12.140625" style="76" customWidth="1"/>
    <col min="12079" max="12279" width="11.5703125" style="76"/>
    <col min="12280" max="12280" width="3.7109375" style="76" customWidth="1"/>
    <col min="12281" max="12281" width="1.7109375" style="76" customWidth="1"/>
    <col min="12282" max="12282" width="2.28515625" style="76" customWidth="1"/>
    <col min="12283" max="12283" width="48.85546875" style="76" customWidth="1"/>
    <col min="12284" max="12284" width="7" style="76" customWidth="1"/>
    <col min="12285" max="12285" width="9.7109375" style="76" customWidth="1"/>
    <col min="12286" max="12286" width="12" style="76" customWidth="1"/>
    <col min="12287" max="12287" width="11" style="76" customWidth="1"/>
    <col min="12288" max="12289" width="14.28515625" style="76" customWidth="1"/>
    <col min="12290" max="12292" width="11.7109375" style="76" customWidth="1"/>
    <col min="12293" max="12293" width="6.7109375" style="76" customWidth="1"/>
    <col min="12294" max="12294" width="12" style="76" customWidth="1"/>
    <col min="12295" max="12295" width="9.28515625" style="76" customWidth="1"/>
    <col min="12296" max="12296" width="12.7109375" style="76" customWidth="1"/>
    <col min="12297" max="12297" width="6.7109375" style="76" customWidth="1"/>
    <col min="12298" max="12298" width="10.28515625" style="76" customWidth="1"/>
    <col min="12299" max="12299" width="11.28515625" style="76" customWidth="1"/>
    <col min="12300" max="12334" width="12.140625" style="76" customWidth="1"/>
    <col min="12335" max="12535" width="11.5703125" style="76"/>
    <col min="12536" max="12536" width="3.7109375" style="76" customWidth="1"/>
    <col min="12537" max="12537" width="1.7109375" style="76" customWidth="1"/>
    <col min="12538" max="12538" width="2.28515625" style="76" customWidth="1"/>
    <col min="12539" max="12539" width="48.85546875" style="76" customWidth="1"/>
    <col min="12540" max="12540" width="7" style="76" customWidth="1"/>
    <col min="12541" max="12541" width="9.7109375" style="76" customWidth="1"/>
    <col min="12542" max="12542" width="12" style="76" customWidth="1"/>
    <col min="12543" max="12543" width="11" style="76" customWidth="1"/>
    <col min="12544" max="12545" width="14.28515625" style="76" customWidth="1"/>
    <col min="12546" max="12548" width="11.7109375" style="76" customWidth="1"/>
    <col min="12549" max="12549" width="6.7109375" style="76" customWidth="1"/>
    <col min="12550" max="12550" width="12" style="76" customWidth="1"/>
    <col min="12551" max="12551" width="9.28515625" style="76" customWidth="1"/>
    <col min="12552" max="12552" width="12.7109375" style="76" customWidth="1"/>
    <col min="12553" max="12553" width="6.7109375" style="76" customWidth="1"/>
    <col min="12554" max="12554" width="10.28515625" style="76" customWidth="1"/>
    <col min="12555" max="12555" width="11.28515625" style="76" customWidth="1"/>
    <col min="12556" max="12590" width="12.140625" style="76" customWidth="1"/>
    <col min="12591" max="12791" width="11.5703125" style="76"/>
    <col min="12792" max="12792" width="3.7109375" style="76" customWidth="1"/>
    <col min="12793" max="12793" width="1.7109375" style="76" customWidth="1"/>
    <col min="12794" max="12794" width="2.28515625" style="76" customWidth="1"/>
    <col min="12795" max="12795" width="48.85546875" style="76" customWidth="1"/>
    <col min="12796" max="12796" width="7" style="76" customWidth="1"/>
    <col min="12797" max="12797" width="9.7109375" style="76" customWidth="1"/>
    <col min="12798" max="12798" width="12" style="76" customWidth="1"/>
    <col min="12799" max="12799" width="11" style="76" customWidth="1"/>
    <col min="12800" max="12801" width="14.28515625" style="76" customWidth="1"/>
    <col min="12802" max="12804" width="11.7109375" style="76" customWidth="1"/>
    <col min="12805" max="12805" width="6.7109375" style="76" customWidth="1"/>
    <col min="12806" max="12806" width="12" style="76" customWidth="1"/>
    <col min="12807" max="12807" width="9.28515625" style="76" customWidth="1"/>
    <col min="12808" max="12808" width="12.7109375" style="76" customWidth="1"/>
    <col min="12809" max="12809" width="6.7109375" style="76" customWidth="1"/>
    <col min="12810" max="12810" width="10.28515625" style="76" customWidth="1"/>
    <col min="12811" max="12811" width="11.28515625" style="76" customWidth="1"/>
    <col min="12812" max="12846" width="12.140625" style="76" customWidth="1"/>
    <col min="12847" max="13047" width="11.5703125" style="76"/>
    <col min="13048" max="13048" width="3.7109375" style="76" customWidth="1"/>
    <col min="13049" max="13049" width="1.7109375" style="76" customWidth="1"/>
    <col min="13050" max="13050" width="2.28515625" style="76" customWidth="1"/>
    <col min="13051" max="13051" width="48.85546875" style="76" customWidth="1"/>
    <col min="13052" max="13052" width="7" style="76" customWidth="1"/>
    <col min="13053" max="13053" width="9.7109375" style="76" customWidth="1"/>
    <col min="13054" max="13054" width="12" style="76" customWidth="1"/>
    <col min="13055" max="13055" width="11" style="76" customWidth="1"/>
    <col min="13056" max="13057" width="14.28515625" style="76" customWidth="1"/>
    <col min="13058" max="13060" width="11.7109375" style="76" customWidth="1"/>
    <col min="13061" max="13061" width="6.7109375" style="76" customWidth="1"/>
    <col min="13062" max="13062" width="12" style="76" customWidth="1"/>
    <col min="13063" max="13063" width="9.28515625" style="76" customWidth="1"/>
    <col min="13064" max="13064" width="12.7109375" style="76" customWidth="1"/>
    <col min="13065" max="13065" width="6.7109375" style="76" customWidth="1"/>
    <col min="13066" max="13066" width="10.28515625" style="76" customWidth="1"/>
    <col min="13067" max="13067" width="11.28515625" style="76" customWidth="1"/>
    <col min="13068" max="13102" width="12.140625" style="76" customWidth="1"/>
    <col min="13103" max="13303" width="11.5703125" style="76"/>
    <col min="13304" max="13304" width="3.7109375" style="76" customWidth="1"/>
    <col min="13305" max="13305" width="1.7109375" style="76" customWidth="1"/>
    <col min="13306" max="13306" width="2.28515625" style="76" customWidth="1"/>
    <col min="13307" max="13307" width="48.85546875" style="76" customWidth="1"/>
    <col min="13308" max="13308" width="7" style="76" customWidth="1"/>
    <col min="13309" max="13309" width="9.7109375" style="76" customWidth="1"/>
    <col min="13310" max="13310" width="12" style="76" customWidth="1"/>
    <col min="13311" max="13311" width="11" style="76" customWidth="1"/>
    <col min="13312" max="13313" width="14.28515625" style="76" customWidth="1"/>
    <col min="13314" max="13316" width="11.7109375" style="76" customWidth="1"/>
    <col min="13317" max="13317" width="6.7109375" style="76" customWidth="1"/>
    <col min="13318" max="13318" width="12" style="76" customWidth="1"/>
    <col min="13319" max="13319" width="9.28515625" style="76" customWidth="1"/>
    <col min="13320" max="13320" width="12.7109375" style="76" customWidth="1"/>
    <col min="13321" max="13321" width="6.7109375" style="76" customWidth="1"/>
    <col min="13322" max="13322" width="10.28515625" style="76" customWidth="1"/>
    <col min="13323" max="13323" width="11.28515625" style="76" customWidth="1"/>
    <col min="13324" max="13358" width="12.140625" style="76" customWidth="1"/>
    <col min="13359" max="13559" width="11.5703125" style="76"/>
    <col min="13560" max="13560" width="3.7109375" style="76" customWidth="1"/>
    <col min="13561" max="13561" width="1.7109375" style="76" customWidth="1"/>
    <col min="13562" max="13562" width="2.28515625" style="76" customWidth="1"/>
    <col min="13563" max="13563" width="48.85546875" style="76" customWidth="1"/>
    <col min="13564" max="13564" width="7" style="76" customWidth="1"/>
    <col min="13565" max="13565" width="9.7109375" style="76" customWidth="1"/>
    <col min="13566" max="13566" width="12" style="76" customWidth="1"/>
    <col min="13567" max="13567" width="11" style="76" customWidth="1"/>
    <col min="13568" max="13569" width="14.28515625" style="76" customWidth="1"/>
    <col min="13570" max="13572" width="11.7109375" style="76" customWidth="1"/>
    <col min="13573" max="13573" width="6.7109375" style="76" customWidth="1"/>
    <col min="13574" max="13574" width="12" style="76" customWidth="1"/>
    <col min="13575" max="13575" width="9.28515625" style="76" customWidth="1"/>
    <col min="13576" max="13576" width="12.7109375" style="76" customWidth="1"/>
    <col min="13577" max="13577" width="6.7109375" style="76" customWidth="1"/>
    <col min="13578" max="13578" width="10.28515625" style="76" customWidth="1"/>
    <col min="13579" max="13579" width="11.28515625" style="76" customWidth="1"/>
    <col min="13580" max="13614" width="12.140625" style="76" customWidth="1"/>
    <col min="13615" max="13815" width="11.5703125" style="76"/>
    <col min="13816" max="13816" width="3.7109375" style="76" customWidth="1"/>
    <col min="13817" max="13817" width="1.7109375" style="76" customWidth="1"/>
    <col min="13818" max="13818" width="2.28515625" style="76" customWidth="1"/>
    <col min="13819" max="13819" width="48.85546875" style="76" customWidth="1"/>
    <col min="13820" max="13820" width="7" style="76" customWidth="1"/>
    <col min="13821" max="13821" width="9.7109375" style="76" customWidth="1"/>
    <col min="13822" max="13822" width="12" style="76" customWidth="1"/>
    <col min="13823" max="13823" width="11" style="76" customWidth="1"/>
    <col min="13824" max="13825" width="14.28515625" style="76" customWidth="1"/>
    <col min="13826" max="13828" width="11.7109375" style="76" customWidth="1"/>
    <col min="13829" max="13829" width="6.7109375" style="76" customWidth="1"/>
    <col min="13830" max="13830" width="12" style="76" customWidth="1"/>
    <col min="13831" max="13831" width="9.28515625" style="76" customWidth="1"/>
    <col min="13832" max="13832" width="12.7109375" style="76" customWidth="1"/>
    <col min="13833" max="13833" width="6.7109375" style="76" customWidth="1"/>
    <col min="13834" max="13834" width="10.28515625" style="76" customWidth="1"/>
    <col min="13835" max="13835" width="11.28515625" style="76" customWidth="1"/>
    <col min="13836" max="13870" width="12.140625" style="76" customWidth="1"/>
    <col min="13871" max="14071" width="11.5703125" style="76"/>
    <col min="14072" max="14072" width="3.7109375" style="76" customWidth="1"/>
    <col min="14073" max="14073" width="1.7109375" style="76" customWidth="1"/>
    <col min="14074" max="14074" width="2.28515625" style="76" customWidth="1"/>
    <col min="14075" max="14075" width="48.85546875" style="76" customWidth="1"/>
    <col min="14076" max="14076" width="7" style="76" customWidth="1"/>
    <col min="14077" max="14077" width="9.7109375" style="76" customWidth="1"/>
    <col min="14078" max="14078" width="12" style="76" customWidth="1"/>
    <col min="14079" max="14079" width="11" style="76" customWidth="1"/>
    <col min="14080" max="14081" width="14.28515625" style="76" customWidth="1"/>
    <col min="14082" max="14084" width="11.7109375" style="76" customWidth="1"/>
    <col min="14085" max="14085" width="6.7109375" style="76" customWidth="1"/>
    <col min="14086" max="14086" width="12" style="76" customWidth="1"/>
    <col min="14087" max="14087" width="9.28515625" style="76" customWidth="1"/>
    <col min="14088" max="14088" width="12.7109375" style="76" customWidth="1"/>
    <col min="14089" max="14089" width="6.7109375" style="76" customWidth="1"/>
    <col min="14090" max="14090" width="10.28515625" style="76" customWidth="1"/>
    <col min="14091" max="14091" width="11.28515625" style="76" customWidth="1"/>
    <col min="14092" max="14126" width="12.140625" style="76" customWidth="1"/>
    <col min="14127" max="14327" width="11.5703125" style="76"/>
    <col min="14328" max="14328" width="3.7109375" style="76" customWidth="1"/>
    <col min="14329" max="14329" width="1.7109375" style="76" customWidth="1"/>
    <col min="14330" max="14330" width="2.28515625" style="76" customWidth="1"/>
    <col min="14331" max="14331" width="48.85546875" style="76" customWidth="1"/>
    <col min="14332" max="14332" width="7" style="76" customWidth="1"/>
    <col min="14333" max="14333" width="9.7109375" style="76" customWidth="1"/>
    <col min="14334" max="14334" width="12" style="76" customWidth="1"/>
    <col min="14335" max="14335" width="11" style="76" customWidth="1"/>
    <col min="14336" max="14337" width="14.28515625" style="76" customWidth="1"/>
    <col min="14338" max="14340" width="11.7109375" style="76" customWidth="1"/>
    <col min="14341" max="14341" width="6.7109375" style="76" customWidth="1"/>
    <col min="14342" max="14342" width="12" style="76" customWidth="1"/>
    <col min="14343" max="14343" width="9.28515625" style="76" customWidth="1"/>
    <col min="14344" max="14344" width="12.7109375" style="76" customWidth="1"/>
    <col min="14345" max="14345" width="6.7109375" style="76" customWidth="1"/>
    <col min="14346" max="14346" width="10.28515625" style="76" customWidth="1"/>
    <col min="14347" max="14347" width="11.28515625" style="76" customWidth="1"/>
    <col min="14348" max="14382" width="12.140625" style="76" customWidth="1"/>
    <col min="14383" max="14583" width="11.5703125" style="76"/>
    <col min="14584" max="14584" width="3.7109375" style="76" customWidth="1"/>
    <col min="14585" max="14585" width="1.7109375" style="76" customWidth="1"/>
    <col min="14586" max="14586" width="2.28515625" style="76" customWidth="1"/>
    <col min="14587" max="14587" width="48.85546875" style="76" customWidth="1"/>
    <col min="14588" max="14588" width="7" style="76" customWidth="1"/>
    <col min="14589" max="14589" width="9.7109375" style="76" customWidth="1"/>
    <col min="14590" max="14590" width="12" style="76" customWidth="1"/>
    <col min="14591" max="14591" width="11" style="76" customWidth="1"/>
    <col min="14592" max="14593" width="14.28515625" style="76" customWidth="1"/>
    <col min="14594" max="14596" width="11.7109375" style="76" customWidth="1"/>
    <col min="14597" max="14597" width="6.7109375" style="76" customWidth="1"/>
    <col min="14598" max="14598" width="12" style="76" customWidth="1"/>
    <col min="14599" max="14599" width="9.28515625" style="76" customWidth="1"/>
    <col min="14600" max="14600" width="12.7109375" style="76" customWidth="1"/>
    <col min="14601" max="14601" width="6.7109375" style="76" customWidth="1"/>
    <col min="14602" max="14602" width="10.28515625" style="76" customWidth="1"/>
    <col min="14603" max="14603" width="11.28515625" style="76" customWidth="1"/>
    <col min="14604" max="14638" width="12.140625" style="76" customWidth="1"/>
    <col min="14639" max="14839" width="11.5703125" style="76"/>
    <col min="14840" max="14840" width="3.7109375" style="76" customWidth="1"/>
    <col min="14841" max="14841" width="1.7109375" style="76" customWidth="1"/>
    <col min="14842" max="14842" width="2.28515625" style="76" customWidth="1"/>
    <col min="14843" max="14843" width="48.85546875" style="76" customWidth="1"/>
    <col min="14844" max="14844" width="7" style="76" customWidth="1"/>
    <col min="14845" max="14845" width="9.7109375" style="76" customWidth="1"/>
    <col min="14846" max="14846" width="12" style="76" customWidth="1"/>
    <col min="14847" max="14847" width="11" style="76" customWidth="1"/>
    <col min="14848" max="14849" width="14.28515625" style="76" customWidth="1"/>
    <col min="14850" max="14852" width="11.7109375" style="76" customWidth="1"/>
    <col min="14853" max="14853" width="6.7109375" style="76" customWidth="1"/>
    <col min="14854" max="14854" width="12" style="76" customWidth="1"/>
    <col min="14855" max="14855" width="9.28515625" style="76" customWidth="1"/>
    <col min="14856" max="14856" width="12.7109375" style="76" customWidth="1"/>
    <col min="14857" max="14857" width="6.7109375" style="76" customWidth="1"/>
    <col min="14858" max="14858" width="10.28515625" style="76" customWidth="1"/>
    <col min="14859" max="14859" width="11.28515625" style="76" customWidth="1"/>
    <col min="14860" max="14894" width="12.140625" style="76" customWidth="1"/>
    <col min="14895" max="15095" width="11.5703125" style="76"/>
    <col min="15096" max="15096" width="3.7109375" style="76" customWidth="1"/>
    <col min="15097" max="15097" width="1.7109375" style="76" customWidth="1"/>
    <col min="15098" max="15098" width="2.28515625" style="76" customWidth="1"/>
    <col min="15099" max="15099" width="48.85546875" style="76" customWidth="1"/>
    <col min="15100" max="15100" width="7" style="76" customWidth="1"/>
    <col min="15101" max="15101" width="9.7109375" style="76" customWidth="1"/>
    <col min="15102" max="15102" width="12" style="76" customWidth="1"/>
    <col min="15103" max="15103" width="11" style="76" customWidth="1"/>
    <col min="15104" max="15105" width="14.28515625" style="76" customWidth="1"/>
    <col min="15106" max="15108" width="11.7109375" style="76" customWidth="1"/>
    <col min="15109" max="15109" width="6.7109375" style="76" customWidth="1"/>
    <col min="15110" max="15110" width="12" style="76" customWidth="1"/>
    <col min="15111" max="15111" width="9.28515625" style="76" customWidth="1"/>
    <col min="15112" max="15112" width="12.7109375" style="76" customWidth="1"/>
    <col min="15113" max="15113" width="6.7109375" style="76" customWidth="1"/>
    <col min="15114" max="15114" width="10.28515625" style="76" customWidth="1"/>
    <col min="15115" max="15115" width="11.28515625" style="76" customWidth="1"/>
    <col min="15116" max="15150" width="12.140625" style="76" customWidth="1"/>
    <col min="15151" max="15351" width="11.5703125" style="76"/>
    <col min="15352" max="15352" width="3.7109375" style="76" customWidth="1"/>
    <col min="15353" max="15353" width="1.7109375" style="76" customWidth="1"/>
    <col min="15354" max="15354" width="2.28515625" style="76" customWidth="1"/>
    <col min="15355" max="15355" width="48.85546875" style="76" customWidth="1"/>
    <col min="15356" max="15356" width="7" style="76" customWidth="1"/>
    <col min="15357" max="15357" width="9.7109375" style="76" customWidth="1"/>
    <col min="15358" max="15358" width="12" style="76" customWidth="1"/>
    <col min="15359" max="15359" width="11" style="76" customWidth="1"/>
    <col min="15360" max="15361" width="14.28515625" style="76" customWidth="1"/>
    <col min="15362" max="15364" width="11.7109375" style="76" customWidth="1"/>
    <col min="15365" max="15365" width="6.7109375" style="76" customWidth="1"/>
    <col min="15366" max="15366" width="12" style="76" customWidth="1"/>
    <col min="15367" max="15367" width="9.28515625" style="76" customWidth="1"/>
    <col min="15368" max="15368" width="12.7109375" style="76" customWidth="1"/>
    <col min="15369" max="15369" width="6.7109375" style="76" customWidth="1"/>
    <col min="15370" max="15370" width="10.28515625" style="76" customWidth="1"/>
    <col min="15371" max="15371" width="11.28515625" style="76" customWidth="1"/>
    <col min="15372" max="15406" width="12.140625" style="76" customWidth="1"/>
    <col min="15407" max="15607" width="11.5703125" style="76"/>
    <col min="15608" max="15608" width="3.7109375" style="76" customWidth="1"/>
    <col min="15609" max="15609" width="1.7109375" style="76" customWidth="1"/>
    <col min="15610" max="15610" width="2.28515625" style="76" customWidth="1"/>
    <col min="15611" max="15611" width="48.85546875" style="76" customWidth="1"/>
    <col min="15612" max="15612" width="7" style="76" customWidth="1"/>
    <col min="15613" max="15613" width="9.7109375" style="76" customWidth="1"/>
    <col min="15614" max="15614" width="12" style="76" customWidth="1"/>
    <col min="15615" max="15615" width="11" style="76" customWidth="1"/>
    <col min="15616" max="15617" width="14.28515625" style="76" customWidth="1"/>
    <col min="15618" max="15620" width="11.7109375" style="76" customWidth="1"/>
    <col min="15621" max="15621" width="6.7109375" style="76" customWidth="1"/>
    <col min="15622" max="15622" width="12" style="76" customWidth="1"/>
    <col min="15623" max="15623" width="9.28515625" style="76" customWidth="1"/>
    <col min="15624" max="15624" width="12.7109375" style="76" customWidth="1"/>
    <col min="15625" max="15625" width="6.7109375" style="76" customWidth="1"/>
    <col min="15626" max="15626" width="10.28515625" style="76" customWidth="1"/>
    <col min="15627" max="15627" width="11.28515625" style="76" customWidth="1"/>
    <col min="15628" max="15662" width="12.140625" style="76" customWidth="1"/>
    <col min="15663" max="15863" width="11.5703125" style="76"/>
    <col min="15864" max="15864" width="3.7109375" style="76" customWidth="1"/>
    <col min="15865" max="15865" width="1.7109375" style="76" customWidth="1"/>
    <col min="15866" max="15866" width="2.28515625" style="76" customWidth="1"/>
    <col min="15867" max="15867" width="48.85546875" style="76" customWidth="1"/>
    <col min="15868" max="15868" width="7" style="76" customWidth="1"/>
    <col min="15869" max="15869" width="9.7109375" style="76" customWidth="1"/>
    <col min="15870" max="15870" width="12" style="76" customWidth="1"/>
    <col min="15871" max="15871" width="11" style="76" customWidth="1"/>
    <col min="15872" max="15873" width="14.28515625" style="76" customWidth="1"/>
    <col min="15874" max="15876" width="11.7109375" style="76" customWidth="1"/>
    <col min="15877" max="15877" width="6.7109375" style="76" customWidth="1"/>
    <col min="15878" max="15878" width="12" style="76" customWidth="1"/>
    <col min="15879" max="15879" width="9.28515625" style="76" customWidth="1"/>
    <col min="15880" max="15880" width="12.7109375" style="76" customWidth="1"/>
    <col min="15881" max="15881" width="6.7109375" style="76" customWidth="1"/>
    <col min="15882" max="15882" width="10.28515625" style="76" customWidth="1"/>
    <col min="15883" max="15883" width="11.28515625" style="76" customWidth="1"/>
    <col min="15884" max="15918" width="12.140625" style="76" customWidth="1"/>
    <col min="15919" max="16119" width="11.5703125" style="76"/>
    <col min="16120" max="16120" width="3.7109375" style="76" customWidth="1"/>
    <col min="16121" max="16121" width="1.7109375" style="76" customWidth="1"/>
    <col min="16122" max="16122" width="2.28515625" style="76" customWidth="1"/>
    <col min="16123" max="16123" width="48.85546875" style="76" customWidth="1"/>
    <col min="16124" max="16124" width="7" style="76" customWidth="1"/>
    <col min="16125" max="16125" width="9.7109375" style="76" customWidth="1"/>
    <col min="16126" max="16126" width="12" style="76" customWidth="1"/>
    <col min="16127" max="16127" width="11" style="76" customWidth="1"/>
    <col min="16128" max="16129" width="14.28515625" style="76" customWidth="1"/>
    <col min="16130" max="16132" width="11.7109375" style="76" customWidth="1"/>
    <col min="16133" max="16133" width="6.7109375" style="76" customWidth="1"/>
    <col min="16134" max="16134" width="12" style="76" customWidth="1"/>
    <col min="16135" max="16135" width="9.28515625" style="76" customWidth="1"/>
    <col min="16136" max="16136" width="12.7109375" style="76" customWidth="1"/>
    <col min="16137" max="16137" width="6.7109375" style="76" customWidth="1"/>
    <col min="16138" max="16138" width="10.28515625" style="76" customWidth="1"/>
    <col min="16139" max="16139" width="11.28515625" style="76" customWidth="1"/>
    <col min="16140" max="16174" width="12.140625" style="76" customWidth="1"/>
    <col min="16175" max="16384" width="11.5703125" style="76"/>
  </cols>
  <sheetData>
    <row r="1" spans="1:46" ht="72.95" customHeight="1">
      <c r="A1" s="342" t="s">
        <v>1753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46">
      <c r="A2" s="344" t="s">
        <v>710</v>
      </c>
      <c r="B2" s="345"/>
      <c r="C2" s="345"/>
      <c r="D2" s="347" t="s">
        <v>14</v>
      </c>
      <c r="E2" s="349" t="s">
        <v>711</v>
      </c>
      <c r="F2" s="345"/>
      <c r="G2" s="349"/>
      <c r="H2" s="345"/>
      <c r="I2" s="350" t="s">
        <v>712</v>
      </c>
      <c r="J2" s="350"/>
      <c r="K2" s="345"/>
      <c r="L2" s="345"/>
      <c r="M2" s="351"/>
    </row>
    <row r="3" spans="1:46">
      <c r="A3" s="346"/>
      <c r="B3" s="340"/>
      <c r="C3" s="340"/>
      <c r="D3" s="348"/>
      <c r="E3" s="340"/>
      <c r="F3" s="340"/>
      <c r="G3" s="340"/>
      <c r="H3" s="340"/>
      <c r="I3" s="340"/>
      <c r="J3" s="340"/>
      <c r="K3" s="340"/>
      <c r="L3" s="340"/>
      <c r="M3" s="341"/>
    </row>
    <row r="4" spans="1:46">
      <c r="A4" s="352" t="s">
        <v>713</v>
      </c>
      <c r="B4" s="340"/>
      <c r="C4" s="340"/>
      <c r="D4" s="339" t="s">
        <v>714</v>
      </c>
      <c r="E4" s="353" t="s">
        <v>715</v>
      </c>
      <c r="F4" s="340"/>
      <c r="G4" s="354"/>
      <c r="H4" s="340"/>
      <c r="I4" s="339" t="s">
        <v>716</v>
      </c>
      <c r="J4" s="339"/>
      <c r="K4" s="340"/>
      <c r="L4" s="340"/>
      <c r="M4" s="341"/>
    </row>
    <row r="5" spans="1:46">
      <c r="A5" s="346"/>
      <c r="B5" s="340"/>
      <c r="C5" s="340"/>
      <c r="D5" s="340"/>
      <c r="E5" s="340"/>
      <c r="F5" s="340"/>
      <c r="G5" s="340"/>
      <c r="H5" s="340"/>
      <c r="I5" s="340"/>
      <c r="J5" s="340"/>
      <c r="K5" s="340"/>
      <c r="L5" s="340"/>
      <c r="M5" s="341"/>
    </row>
    <row r="6" spans="1:46">
      <c r="A6" s="352" t="s">
        <v>717</v>
      </c>
      <c r="B6" s="340"/>
      <c r="C6" s="340"/>
      <c r="D6" s="339" t="s">
        <v>718</v>
      </c>
      <c r="E6" s="353" t="s">
        <v>719</v>
      </c>
      <c r="F6" s="340"/>
      <c r="G6" s="340"/>
      <c r="H6" s="340"/>
      <c r="I6" s="339" t="s">
        <v>720</v>
      </c>
      <c r="J6" s="339"/>
      <c r="K6" s="340"/>
      <c r="L6" s="340"/>
      <c r="M6" s="341"/>
    </row>
    <row r="7" spans="1:46">
      <c r="A7" s="346"/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1"/>
    </row>
    <row r="8" spans="1:46">
      <c r="A8" s="352" t="s">
        <v>721</v>
      </c>
      <c r="B8" s="340"/>
      <c r="C8" s="340"/>
      <c r="D8" s="339"/>
      <c r="E8" s="353" t="s">
        <v>722</v>
      </c>
      <c r="F8" s="340"/>
      <c r="G8" s="354">
        <v>42709</v>
      </c>
      <c r="H8" s="340"/>
      <c r="I8" s="339" t="s">
        <v>723</v>
      </c>
      <c r="J8" s="339"/>
      <c r="K8" s="340"/>
      <c r="L8" s="340"/>
      <c r="M8" s="341"/>
    </row>
    <row r="9" spans="1:46" ht="13.5" thickBot="1">
      <c r="A9" s="357"/>
      <c r="B9" s="355"/>
      <c r="C9" s="355"/>
      <c r="D9" s="355"/>
      <c r="E9" s="355"/>
      <c r="F9" s="355"/>
      <c r="G9" s="355"/>
      <c r="H9" s="355"/>
      <c r="I9" s="355"/>
      <c r="J9" s="355"/>
      <c r="K9" s="355"/>
      <c r="L9" s="355"/>
      <c r="M9" s="356"/>
    </row>
    <row r="10" spans="1:46">
      <c r="A10" s="77" t="s">
        <v>724</v>
      </c>
      <c r="B10" s="78" t="s">
        <v>725</v>
      </c>
      <c r="C10" s="78" t="s">
        <v>726</v>
      </c>
      <c r="D10" s="78" t="s">
        <v>727</v>
      </c>
      <c r="E10" s="78" t="s">
        <v>728</v>
      </c>
      <c r="F10" s="79" t="s">
        <v>729</v>
      </c>
      <c r="G10" s="80" t="s">
        <v>730</v>
      </c>
      <c r="H10" s="358" t="s">
        <v>731</v>
      </c>
      <c r="I10" s="359"/>
      <c r="J10" s="360"/>
      <c r="K10" s="358" t="s">
        <v>732</v>
      </c>
      <c r="L10" s="360"/>
      <c r="M10" s="81" t="s">
        <v>733</v>
      </c>
    </row>
    <row r="11" spans="1:46" ht="24.6" customHeight="1" thickBot="1">
      <c r="A11" s="82" t="s">
        <v>734</v>
      </c>
      <c r="B11" s="83" t="s">
        <v>734</v>
      </c>
      <c r="C11" s="83" t="s">
        <v>734</v>
      </c>
      <c r="D11" s="84" t="s">
        <v>735</v>
      </c>
      <c r="E11" s="83" t="s">
        <v>734</v>
      </c>
      <c r="F11" s="83" t="s">
        <v>734</v>
      </c>
      <c r="G11" s="85" t="s">
        <v>736</v>
      </c>
      <c r="H11" s="86" t="s">
        <v>737</v>
      </c>
      <c r="I11" s="87" t="s">
        <v>738</v>
      </c>
      <c r="J11" s="88" t="s">
        <v>739</v>
      </c>
      <c r="K11" s="86" t="s">
        <v>730</v>
      </c>
      <c r="L11" s="88" t="s">
        <v>739</v>
      </c>
      <c r="M11" s="89" t="s">
        <v>740</v>
      </c>
      <c r="N11" s="90" t="s">
        <v>741</v>
      </c>
      <c r="O11" s="90" t="s">
        <v>742</v>
      </c>
      <c r="P11" s="90" t="s">
        <v>743</v>
      </c>
      <c r="Q11" s="90" t="s">
        <v>744</v>
      </c>
      <c r="R11" s="90" t="s">
        <v>745</v>
      </c>
      <c r="S11" s="90" t="s">
        <v>746</v>
      </c>
      <c r="T11" s="90" t="s">
        <v>747</v>
      </c>
      <c r="U11" s="90" t="s">
        <v>748</v>
      </c>
      <c r="V11" s="90" t="s">
        <v>749</v>
      </c>
    </row>
    <row r="12" spans="1:46">
      <c r="A12" s="91"/>
      <c r="B12" s="92"/>
      <c r="C12" s="92" t="s">
        <v>750</v>
      </c>
      <c r="D12" s="361" t="s">
        <v>751</v>
      </c>
      <c r="E12" s="362"/>
      <c r="F12" s="362"/>
      <c r="G12" s="362"/>
      <c r="H12" s="93">
        <f>SUM(H13:H39)</f>
        <v>0</v>
      </c>
      <c r="I12" s="93">
        <f>SUM(I13:I39)</f>
        <v>0</v>
      </c>
      <c r="J12" s="93">
        <f>H12+I12</f>
        <v>0</v>
      </c>
      <c r="K12" s="90"/>
      <c r="L12" s="93">
        <f>SUM(L13:L39)</f>
        <v>0.57430000000000003</v>
      </c>
      <c r="M12" s="90"/>
      <c r="W12" s="90"/>
      <c r="AG12" s="93">
        <f>SUM(X13:X39)</f>
        <v>0</v>
      </c>
      <c r="AH12" s="93">
        <f>SUM(Y13:Y39)</f>
        <v>0</v>
      </c>
      <c r="AI12" s="93">
        <f>SUM(Z13:Z39)</f>
        <v>0</v>
      </c>
    </row>
    <row r="13" spans="1:46" ht="38.25">
      <c r="A13" s="94" t="s">
        <v>752</v>
      </c>
      <c r="B13" s="94"/>
      <c r="C13" s="94" t="s">
        <v>753</v>
      </c>
      <c r="D13" s="95" t="s">
        <v>754</v>
      </c>
      <c r="E13" s="95" t="s">
        <v>62</v>
      </c>
      <c r="F13" s="96">
        <v>20</v>
      </c>
      <c r="G13" s="96"/>
      <c r="H13" s="97">
        <f>F13*AC13</f>
        <v>0</v>
      </c>
      <c r="I13" s="97">
        <f>J13-H13</f>
        <v>0</v>
      </c>
      <c r="J13" s="97">
        <f>F13*G13</f>
        <v>0</v>
      </c>
      <c r="K13" s="97">
        <v>3.8000000000000002E-4</v>
      </c>
      <c r="L13" s="97">
        <f>F13*K13</f>
        <v>7.6000000000000009E-3</v>
      </c>
      <c r="M13" s="98" t="s">
        <v>755</v>
      </c>
      <c r="N13" s="99">
        <f>IF(AE13="5",J13,0)</f>
        <v>0</v>
      </c>
      <c r="P13" s="99">
        <f>IF(AE13="1",H13,0)</f>
        <v>0</v>
      </c>
      <c r="Q13" s="99">
        <f>IF(AE13="1",I13,0)</f>
        <v>0</v>
      </c>
      <c r="R13" s="99">
        <f>IF(AE13="7",H13,0)</f>
        <v>0</v>
      </c>
      <c r="S13" s="99">
        <f>IF(AE13="7",I13,0)</f>
        <v>0</v>
      </c>
      <c r="T13" s="99">
        <f>IF(AE13="2",H13,0)</f>
        <v>0</v>
      </c>
      <c r="U13" s="99">
        <f>IF(AE13="2",I13,0)</f>
        <v>0</v>
      </c>
      <c r="V13" s="99">
        <f>IF(AE13="0",J13,0)</f>
        <v>0</v>
      </c>
      <c r="W13" s="90"/>
      <c r="X13" s="97">
        <f>IF(AB13=0,J13,0)</f>
        <v>0</v>
      </c>
      <c r="Y13" s="97">
        <f>IF(AB13=15,J13,0)</f>
        <v>0</v>
      </c>
      <c r="Z13" s="97">
        <f>IF(AB13=21,J13,0)</f>
        <v>0</v>
      </c>
      <c r="AB13" s="99">
        <v>0</v>
      </c>
      <c r="AC13" s="99">
        <f>G13*0.376706586826347</f>
        <v>0</v>
      </c>
      <c r="AD13" s="99">
        <f>G13*(1-0.376706586826347)</f>
        <v>0</v>
      </c>
      <c r="AE13" s="98">
        <v>0</v>
      </c>
      <c r="AK13" s="99">
        <f>F13*AC13</f>
        <v>0</v>
      </c>
      <c r="AL13" s="99">
        <f>F13*AD13</f>
        <v>0</v>
      </c>
      <c r="AM13" s="100" t="s">
        <v>756</v>
      </c>
      <c r="AN13" s="100" t="s">
        <v>757</v>
      </c>
      <c r="AO13" s="90" t="s">
        <v>758</v>
      </c>
      <c r="AQ13" s="99">
        <f>AK13+AL13</f>
        <v>0</v>
      </c>
      <c r="AR13" s="99">
        <f>G13/(100-AS13)*100</f>
        <v>0</v>
      </c>
      <c r="AS13" s="99">
        <v>0</v>
      </c>
      <c r="AT13" s="99">
        <f>L13</f>
        <v>7.6000000000000009E-3</v>
      </c>
    </row>
    <row r="14" spans="1:46" ht="25.5">
      <c r="D14" s="101" t="s">
        <v>759</v>
      </c>
      <c r="E14" s="102"/>
      <c r="F14" s="103">
        <v>20</v>
      </c>
      <c r="G14" s="102"/>
    </row>
    <row r="15" spans="1:46" ht="38.25">
      <c r="A15" s="94" t="s">
        <v>760</v>
      </c>
      <c r="B15" s="94"/>
      <c r="C15" s="94" t="s">
        <v>761</v>
      </c>
      <c r="D15" s="95" t="s">
        <v>762</v>
      </c>
      <c r="E15" s="95" t="s">
        <v>62</v>
      </c>
      <c r="F15" s="96">
        <v>15</v>
      </c>
      <c r="G15" s="96"/>
      <c r="H15" s="97">
        <f>F15*AC15</f>
        <v>0</v>
      </c>
      <c r="I15" s="97">
        <f>J15-H15</f>
        <v>0</v>
      </c>
      <c r="J15" s="97">
        <f>F15*G15</f>
        <v>0</v>
      </c>
      <c r="K15" s="97">
        <v>4.6999999999999999E-4</v>
      </c>
      <c r="L15" s="97">
        <f>F15*K15</f>
        <v>7.0499999999999998E-3</v>
      </c>
      <c r="M15" s="98" t="s">
        <v>755</v>
      </c>
      <c r="N15" s="99">
        <f>IF(AE15="5",J15,0)</f>
        <v>0</v>
      </c>
      <c r="P15" s="99">
        <f>IF(AE15="1",H15,0)</f>
        <v>0</v>
      </c>
      <c r="Q15" s="99">
        <f>IF(AE15="1",I15,0)</f>
        <v>0</v>
      </c>
      <c r="R15" s="99">
        <f>IF(AE15="7",H15,0)</f>
        <v>0</v>
      </c>
      <c r="S15" s="99">
        <f>IF(AE15="7",I15,0)</f>
        <v>0</v>
      </c>
      <c r="T15" s="99">
        <f>IF(AE15="2",H15,0)</f>
        <v>0</v>
      </c>
      <c r="U15" s="99">
        <f>IF(AE15="2",I15,0)</f>
        <v>0</v>
      </c>
      <c r="V15" s="99">
        <f>IF(AE15="0",J15,0)</f>
        <v>0</v>
      </c>
      <c r="W15" s="90"/>
      <c r="X15" s="97">
        <f>IF(AB15=0,J15,0)</f>
        <v>0</v>
      </c>
      <c r="Y15" s="97">
        <f>IF(AB15=15,J15,0)</f>
        <v>0</v>
      </c>
      <c r="Z15" s="97">
        <f>IF(AB15=21,J15,0)</f>
        <v>0</v>
      </c>
      <c r="AB15" s="99">
        <v>0</v>
      </c>
      <c r="AC15" s="99">
        <f>G15*0.360109589041096</f>
        <v>0</v>
      </c>
      <c r="AD15" s="99">
        <f>G15*(1-0.360109589041096)</f>
        <v>0</v>
      </c>
      <c r="AE15" s="98">
        <v>0</v>
      </c>
      <c r="AK15" s="99">
        <f>F15*AC15</f>
        <v>0</v>
      </c>
      <c r="AL15" s="99">
        <f>F15*AD15</f>
        <v>0</v>
      </c>
      <c r="AM15" s="100" t="s">
        <v>756</v>
      </c>
      <c r="AN15" s="100" t="s">
        <v>757</v>
      </c>
      <c r="AO15" s="90" t="s">
        <v>758</v>
      </c>
      <c r="AQ15" s="99">
        <f>AK15+AL15</f>
        <v>0</v>
      </c>
      <c r="AR15" s="99">
        <f>G15/(100-AS15)*100</f>
        <v>0</v>
      </c>
      <c r="AS15" s="99">
        <v>0</v>
      </c>
      <c r="AT15" s="99">
        <f>L15</f>
        <v>7.0499999999999998E-3</v>
      </c>
    </row>
    <row r="16" spans="1:46">
      <c r="D16" s="101" t="s">
        <v>763</v>
      </c>
      <c r="E16" s="102"/>
      <c r="F16" s="103">
        <v>0</v>
      </c>
      <c r="G16" s="102"/>
    </row>
    <row r="17" spans="1:46" ht="38.25">
      <c r="A17" s="94" t="s">
        <v>764</v>
      </c>
      <c r="B17" s="94"/>
      <c r="C17" s="94" t="s">
        <v>765</v>
      </c>
      <c r="D17" s="95" t="s">
        <v>766</v>
      </c>
      <c r="E17" s="95" t="s">
        <v>62</v>
      </c>
      <c r="F17" s="96">
        <v>4</v>
      </c>
      <c r="G17" s="96"/>
      <c r="H17" s="97">
        <f>F17*AC17</f>
        <v>0</v>
      </c>
      <c r="I17" s="97">
        <f>J17-H17</f>
        <v>0</v>
      </c>
      <c r="J17" s="97">
        <f>F17*G17</f>
        <v>0</v>
      </c>
      <c r="K17" s="97">
        <v>6.9999999999999999E-4</v>
      </c>
      <c r="L17" s="97">
        <f>F17*K17</f>
        <v>2.8E-3</v>
      </c>
      <c r="M17" s="98" t="s">
        <v>755</v>
      </c>
      <c r="N17" s="99">
        <f>IF(AE17="5",J17,0)</f>
        <v>0</v>
      </c>
      <c r="P17" s="99">
        <f>IF(AE17="1",H17,0)</f>
        <v>0</v>
      </c>
      <c r="Q17" s="99">
        <f>IF(AE17="1",I17,0)</f>
        <v>0</v>
      </c>
      <c r="R17" s="99">
        <f>IF(AE17="7",H17,0)</f>
        <v>0</v>
      </c>
      <c r="S17" s="99">
        <f>IF(AE17="7",I17,0)</f>
        <v>0</v>
      </c>
      <c r="T17" s="99">
        <f>IF(AE17="2",H17,0)</f>
        <v>0</v>
      </c>
      <c r="U17" s="99">
        <f>IF(AE17="2",I17,0)</f>
        <v>0</v>
      </c>
      <c r="V17" s="99">
        <f>IF(AE17="0",J17,0)</f>
        <v>0</v>
      </c>
      <c r="W17" s="90"/>
      <c r="X17" s="97">
        <f>IF(AB17=0,J17,0)</f>
        <v>0</v>
      </c>
      <c r="Y17" s="97">
        <f>IF(AB17=15,J17,0)</f>
        <v>0</v>
      </c>
      <c r="Z17" s="97">
        <f>IF(AB17=21,J17,0)</f>
        <v>0</v>
      </c>
      <c r="AB17" s="99">
        <v>0</v>
      </c>
      <c r="AC17" s="99">
        <f>G17*0.382268907563025</f>
        <v>0</v>
      </c>
      <c r="AD17" s="99">
        <f>G17*(1-0.382268907563025)</f>
        <v>0</v>
      </c>
      <c r="AE17" s="98">
        <v>0</v>
      </c>
      <c r="AK17" s="99">
        <f>F17*AC17</f>
        <v>0</v>
      </c>
      <c r="AL17" s="99">
        <f>F17*AD17</f>
        <v>0</v>
      </c>
      <c r="AM17" s="100" t="s">
        <v>756</v>
      </c>
      <c r="AN17" s="100" t="s">
        <v>757</v>
      </c>
      <c r="AO17" s="90" t="s">
        <v>758</v>
      </c>
      <c r="AQ17" s="99">
        <f>AK17+AL17</f>
        <v>0</v>
      </c>
      <c r="AR17" s="99">
        <f>G17/(100-AS17)*100</f>
        <v>0</v>
      </c>
      <c r="AS17" s="99">
        <v>0</v>
      </c>
      <c r="AT17" s="99">
        <f>L17</f>
        <v>2.8E-3</v>
      </c>
    </row>
    <row r="18" spans="1:46">
      <c r="D18" s="101" t="s">
        <v>767</v>
      </c>
      <c r="E18" s="102"/>
      <c r="F18" s="103">
        <v>0</v>
      </c>
      <c r="G18" s="102"/>
    </row>
    <row r="19" spans="1:46" ht="38.25">
      <c r="A19" s="94" t="s">
        <v>768</v>
      </c>
      <c r="B19" s="94"/>
      <c r="C19" s="94" t="s">
        <v>769</v>
      </c>
      <c r="D19" s="95" t="s">
        <v>770</v>
      </c>
      <c r="E19" s="95" t="s">
        <v>62</v>
      </c>
      <c r="F19" s="96">
        <v>30</v>
      </c>
      <c r="G19" s="96"/>
      <c r="H19" s="97">
        <f>F19*AC19</f>
        <v>0</v>
      </c>
      <c r="I19" s="97">
        <f>J19-H19</f>
        <v>0</v>
      </c>
      <c r="J19" s="97">
        <f>F19*G19</f>
        <v>0</v>
      </c>
      <c r="K19" s="97">
        <v>1.5200000000000001E-3</v>
      </c>
      <c r="L19" s="97">
        <f>F19*K19</f>
        <v>4.5600000000000002E-2</v>
      </c>
      <c r="M19" s="98" t="s">
        <v>755</v>
      </c>
      <c r="N19" s="99">
        <f>IF(AE19="5",J19,0)</f>
        <v>0</v>
      </c>
      <c r="P19" s="99">
        <f>IF(AE19="1",H19,0)</f>
        <v>0</v>
      </c>
      <c r="Q19" s="99">
        <f>IF(AE19="1",I19,0)</f>
        <v>0</v>
      </c>
      <c r="R19" s="99">
        <f>IF(AE19="7",H19,0)</f>
        <v>0</v>
      </c>
      <c r="S19" s="99">
        <f>IF(AE19="7",I19,0)</f>
        <v>0</v>
      </c>
      <c r="T19" s="99">
        <f>IF(AE19="2",H19,0)</f>
        <v>0</v>
      </c>
      <c r="U19" s="99">
        <f>IF(AE19="2",I19,0)</f>
        <v>0</v>
      </c>
      <c r="V19" s="99">
        <f>IF(AE19="0",J19,0)</f>
        <v>0</v>
      </c>
      <c r="W19" s="90"/>
      <c r="X19" s="97">
        <f>IF(AB19=0,J19,0)</f>
        <v>0</v>
      </c>
      <c r="Y19" s="97">
        <f>IF(AB19=15,J19,0)</f>
        <v>0</v>
      </c>
      <c r="Z19" s="97">
        <f>IF(AB19=21,J19,0)</f>
        <v>0</v>
      </c>
      <c r="AB19" s="99">
        <v>0</v>
      </c>
      <c r="AC19" s="99">
        <f>G19*0.344364261168385</f>
        <v>0</v>
      </c>
      <c r="AD19" s="99">
        <f>G19*(1-0.344364261168385)</f>
        <v>0</v>
      </c>
      <c r="AE19" s="98">
        <v>0</v>
      </c>
      <c r="AK19" s="99">
        <f>F19*AC19</f>
        <v>0</v>
      </c>
      <c r="AL19" s="99">
        <f>F19*AD19</f>
        <v>0</v>
      </c>
      <c r="AM19" s="100" t="s">
        <v>756</v>
      </c>
      <c r="AN19" s="100" t="s">
        <v>757</v>
      </c>
      <c r="AO19" s="90" t="s">
        <v>758</v>
      </c>
      <c r="AQ19" s="99">
        <f>AK19+AL19</f>
        <v>0</v>
      </c>
      <c r="AR19" s="99">
        <f>G19/(100-AS19)*100</f>
        <v>0</v>
      </c>
      <c r="AS19" s="99">
        <v>0</v>
      </c>
      <c r="AT19" s="99">
        <f>L19</f>
        <v>4.5600000000000002E-2</v>
      </c>
    </row>
    <row r="20" spans="1:46">
      <c r="D20" s="101" t="s">
        <v>763</v>
      </c>
      <c r="E20" s="102"/>
      <c r="F20" s="103">
        <v>0</v>
      </c>
      <c r="G20" s="102"/>
    </row>
    <row r="21" spans="1:46" ht="25.5">
      <c r="A21" s="94" t="s">
        <v>771</v>
      </c>
      <c r="B21" s="94"/>
      <c r="C21" s="94" t="s">
        <v>772</v>
      </c>
      <c r="D21" s="95" t="s">
        <v>773</v>
      </c>
      <c r="E21" s="95" t="s">
        <v>62</v>
      </c>
      <c r="F21" s="96">
        <v>10</v>
      </c>
      <c r="G21" s="96"/>
      <c r="H21" s="97">
        <f t="shared" ref="H21:H37" si="0">F21*AC21</f>
        <v>0</v>
      </c>
      <c r="I21" s="97">
        <f t="shared" ref="I21:I37" si="1">J21-H21</f>
        <v>0</v>
      </c>
      <c r="J21" s="97">
        <f t="shared" ref="J21:J37" si="2">F21*G21</f>
        <v>0</v>
      </c>
      <c r="K21" s="97">
        <v>2.0899999999999998E-3</v>
      </c>
      <c r="L21" s="97">
        <f t="shared" ref="L21:L37" si="3">F21*K21</f>
        <v>2.0899999999999998E-2</v>
      </c>
      <c r="M21" s="98" t="s">
        <v>755</v>
      </c>
      <c r="N21" s="99">
        <f t="shared" ref="N21:N37" si="4">IF(AE21="5",J21,0)</f>
        <v>0</v>
      </c>
      <c r="P21" s="99">
        <f t="shared" ref="P21:P37" si="5">IF(AE21="1",H21,0)</f>
        <v>0</v>
      </c>
      <c r="Q21" s="99">
        <f t="shared" ref="Q21:Q37" si="6">IF(AE21="1",I21,0)</f>
        <v>0</v>
      </c>
      <c r="R21" s="99">
        <f t="shared" ref="R21:R37" si="7">IF(AE21="7",H21,0)</f>
        <v>0</v>
      </c>
      <c r="S21" s="99">
        <f t="shared" ref="S21:S37" si="8">IF(AE21="7",I21,0)</f>
        <v>0</v>
      </c>
      <c r="T21" s="99">
        <f t="shared" ref="T21:T37" si="9">IF(AE21="2",H21,0)</f>
        <v>0</v>
      </c>
      <c r="U21" s="99">
        <f t="shared" ref="U21:U37" si="10">IF(AE21="2",I21,0)</f>
        <v>0</v>
      </c>
      <c r="V21" s="99">
        <f t="shared" ref="V21:V37" si="11">IF(AE21="0",J21,0)</f>
        <v>0</v>
      </c>
      <c r="W21" s="90"/>
      <c r="X21" s="97">
        <f t="shared" ref="X21:X37" si="12">IF(AB21=0,J21,0)</f>
        <v>0</v>
      </c>
      <c r="Y21" s="97">
        <f t="shared" ref="Y21:Y37" si="13">IF(AB21=15,J21,0)</f>
        <v>0</v>
      </c>
      <c r="Z21" s="97">
        <f t="shared" ref="Z21:Z37" si="14">IF(AB21=21,J21,0)</f>
        <v>0</v>
      </c>
      <c r="AB21" s="99">
        <v>0</v>
      </c>
      <c r="AC21" s="99">
        <f>G21*0.437340540540541</f>
        <v>0</v>
      </c>
      <c r="AD21" s="99">
        <f>G21*(1-0.437340540540541)</f>
        <v>0</v>
      </c>
      <c r="AE21" s="98">
        <v>0</v>
      </c>
      <c r="AK21" s="99">
        <f t="shared" ref="AK21:AK37" si="15">F21*AC21</f>
        <v>0</v>
      </c>
      <c r="AL21" s="99">
        <f t="shared" ref="AL21:AL37" si="16">F21*AD21</f>
        <v>0</v>
      </c>
      <c r="AM21" s="100" t="s">
        <v>756</v>
      </c>
      <c r="AN21" s="100" t="s">
        <v>757</v>
      </c>
      <c r="AO21" s="90" t="s">
        <v>758</v>
      </c>
      <c r="AQ21" s="99">
        <f t="shared" ref="AQ21:AQ37" si="17">AK21+AL21</f>
        <v>0</v>
      </c>
      <c r="AR21" s="99">
        <f t="shared" ref="AR21:AR37" si="18">G21/(100-AS21)*100</f>
        <v>0</v>
      </c>
      <c r="AS21" s="99">
        <v>0</v>
      </c>
      <c r="AT21" s="99">
        <f t="shared" ref="AT21:AT37" si="19">L21</f>
        <v>2.0899999999999998E-2</v>
      </c>
    </row>
    <row r="22" spans="1:46" ht="25.5">
      <c r="A22" s="94" t="s">
        <v>774</v>
      </c>
      <c r="B22" s="94"/>
      <c r="C22" s="94" t="s">
        <v>775</v>
      </c>
      <c r="D22" s="95" t="s">
        <v>776</v>
      </c>
      <c r="E22" s="95" t="s">
        <v>62</v>
      </c>
      <c r="F22" s="96">
        <v>30</v>
      </c>
      <c r="G22" s="96"/>
      <c r="H22" s="97">
        <f t="shared" si="0"/>
        <v>0</v>
      </c>
      <c r="I22" s="97">
        <f t="shared" si="1"/>
        <v>0</v>
      </c>
      <c r="J22" s="97">
        <f t="shared" si="2"/>
        <v>0</v>
      </c>
      <c r="K22" s="97">
        <v>2.5000000000000001E-3</v>
      </c>
      <c r="L22" s="97">
        <f t="shared" si="3"/>
        <v>7.4999999999999997E-2</v>
      </c>
      <c r="M22" s="98" t="s">
        <v>755</v>
      </c>
      <c r="N22" s="99">
        <f t="shared" si="4"/>
        <v>0</v>
      </c>
      <c r="P22" s="99">
        <f t="shared" si="5"/>
        <v>0</v>
      </c>
      <c r="Q22" s="99">
        <f t="shared" si="6"/>
        <v>0</v>
      </c>
      <c r="R22" s="99">
        <f t="shared" si="7"/>
        <v>0</v>
      </c>
      <c r="S22" s="99">
        <f t="shared" si="8"/>
        <v>0</v>
      </c>
      <c r="T22" s="99">
        <f t="shared" si="9"/>
        <v>0</v>
      </c>
      <c r="U22" s="99">
        <f t="shared" si="10"/>
        <v>0</v>
      </c>
      <c r="V22" s="99">
        <f t="shared" si="11"/>
        <v>0</v>
      </c>
      <c r="W22" s="90"/>
      <c r="X22" s="97">
        <f t="shared" si="12"/>
        <v>0</v>
      </c>
      <c r="Y22" s="97">
        <f t="shared" si="13"/>
        <v>0</v>
      </c>
      <c r="Z22" s="97">
        <f t="shared" si="14"/>
        <v>0</v>
      </c>
      <c r="AB22" s="99">
        <v>0</v>
      </c>
      <c r="AC22" s="99">
        <f>G22*0.536131907308378</f>
        <v>0</v>
      </c>
      <c r="AD22" s="99">
        <f>G22*(1-0.536131907308378)</f>
        <v>0</v>
      </c>
      <c r="AE22" s="98">
        <v>0</v>
      </c>
      <c r="AK22" s="99">
        <f t="shared" si="15"/>
        <v>0</v>
      </c>
      <c r="AL22" s="99">
        <f t="shared" si="16"/>
        <v>0</v>
      </c>
      <c r="AM22" s="100" t="s">
        <v>756</v>
      </c>
      <c r="AN22" s="100" t="s">
        <v>757</v>
      </c>
      <c r="AO22" s="90" t="s">
        <v>758</v>
      </c>
      <c r="AQ22" s="99">
        <f t="shared" si="17"/>
        <v>0</v>
      </c>
      <c r="AR22" s="99">
        <f t="shared" si="18"/>
        <v>0</v>
      </c>
      <c r="AS22" s="99">
        <v>0</v>
      </c>
      <c r="AT22" s="99">
        <f t="shared" si="19"/>
        <v>7.4999999999999997E-2</v>
      </c>
    </row>
    <row r="23" spans="1:46" ht="25.5">
      <c r="A23" s="94" t="s">
        <v>777</v>
      </c>
      <c r="B23" s="94"/>
      <c r="C23" s="94" t="s">
        <v>778</v>
      </c>
      <c r="D23" s="95" t="s">
        <v>779</v>
      </c>
      <c r="E23" s="95" t="s">
        <v>62</v>
      </c>
      <c r="F23" s="96">
        <v>75</v>
      </c>
      <c r="G23" s="96"/>
      <c r="H23" s="97">
        <f t="shared" si="0"/>
        <v>0</v>
      </c>
      <c r="I23" s="97">
        <f t="shared" si="1"/>
        <v>0</v>
      </c>
      <c r="J23" s="97">
        <f t="shared" si="2"/>
        <v>0</v>
      </c>
      <c r="K23" s="97">
        <v>3.5500000000000002E-3</v>
      </c>
      <c r="L23" s="97">
        <f t="shared" si="3"/>
        <v>0.26625000000000004</v>
      </c>
      <c r="M23" s="98" t="s">
        <v>755</v>
      </c>
      <c r="N23" s="99">
        <f t="shared" si="4"/>
        <v>0</v>
      </c>
      <c r="P23" s="99">
        <f t="shared" si="5"/>
        <v>0</v>
      </c>
      <c r="Q23" s="99">
        <f t="shared" si="6"/>
        <v>0</v>
      </c>
      <c r="R23" s="99">
        <f t="shared" si="7"/>
        <v>0</v>
      </c>
      <c r="S23" s="99">
        <f t="shared" si="8"/>
        <v>0</v>
      </c>
      <c r="T23" s="99">
        <f t="shared" si="9"/>
        <v>0</v>
      </c>
      <c r="U23" s="99">
        <f t="shared" si="10"/>
        <v>0</v>
      </c>
      <c r="V23" s="99">
        <f t="shared" si="11"/>
        <v>0</v>
      </c>
      <c r="W23" s="90"/>
      <c r="X23" s="97">
        <f t="shared" si="12"/>
        <v>0</v>
      </c>
      <c r="Y23" s="97">
        <f t="shared" si="13"/>
        <v>0</v>
      </c>
      <c r="Z23" s="97">
        <f t="shared" si="14"/>
        <v>0</v>
      </c>
      <c r="AB23" s="99">
        <v>0</v>
      </c>
      <c r="AC23" s="99">
        <f>G23*0.674721358570156</f>
        <v>0</v>
      </c>
      <c r="AD23" s="99">
        <f>G23*(1-0.674721358570156)</f>
        <v>0</v>
      </c>
      <c r="AE23" s="98">
        <v>0</v>
      </c>
      <c r="AK23" s="99">
        <f t="shared" si="15"/>
        <v>0</v>
      </c>
      <c r="AL23" s="99">
        <f t="shared" si="16"/>
        <v>0</v>
      </c>
      <c r="AM23" s="100" t="s">
        <v>756</v>
      </c>
      <c r="AN23" s="100" t="s">
        <v>757</v>
      </c>
      <c r="AO23" s="90" t="s">
        <v>758</v>
      </c>
      <c r="AQ23" s="99">
        <f t="shared" si="17"/>
        <v>0</v>
      </c>
      <c r="AR23" s="99">
        <f t="shared" si="18"/>
        <v>0</v>
      </c>
      <c r="AS23" s="99">
        <v>0</v>
      </c>
      <c r="AT23" s="99">
        <f t="shared" si="19"/>
        <v>0.26625000000000004</v>
      </c>
    </row>
    <row r="24" spans="1:46">
      <c r="A24" s="94" t="s">
        <v>780</v>
      </c>
      <c r="B24" s="94"/>
      <c r="C24" s="94" t="s">
        <v>781</v>
      </c>
      <c r="D24" s="95" t="s">
        <v>782</v>
      </c>
      <c r="E24" s="95" t="s">
        <v>52</v>
      </c>
      <c r="F24" s="96">
        <v>14</v>
      </c>
      <c r="G24" s="96"/>
      <c r="H24" s="97">
        <f t="shared" si="0"/>
        <v>0</v>
      </c>
      <c r="I24" s="97">
        <f t="shared" si="1"/>
        <v>0</v>
      </c>
      <c r="J24" s="97">
        <f t="shared" si="2"/>
        <v>0</v>
      </c>
      <c r="K24" s="97">
        <v>0</v>
      </c>
      <c r="L24" s="97">
        <f t="shared" si="3"/>
        <v>0</v>
      </c>
      <c r="M24" s="98" t="s">
        <v>755</v>
      </c>
      <c r="N24" s="99">
        <f t="shared" si="4"/>
        <v>0</v>
      </c>
      <c r="P24" s="99">
        <f t="shared" si="5"/>
        <v>0</v>
      </c>
      <c r="Q24" s="99">
        <f t="shared" si="6"/>
        <v>0</v>
      </c>
      <c r="R24" s="99">
        <f t="shared" si="7"/>
        <v>0</v>
      </c>
      <c r="S24" s="99">
        <f t="shared" si="8"/>
        <v>0</v>
      </c>
      <c r="T24" s="99">
        <f t="shared" si="9"/>
        <v>0</v>
      </c>
      <c r="U24" s="99">
        <f t="shared" si="10"/>
        <v>0</v>
      </c>
      <c r="V24" s="99">
        <f t="shared" si="11"/>
        <v>0</v>
      </c>
      <c r="W24" s="90"/>
      <c r="X24" s="97">
        <f t="shared" si="12"/>
        <v>0</v>
      </c>
      <c r="Y24" s="97">
        <f t="shared" si="13"/>
        <v>0</v>
      </c>
      <c r="Z24" s="97">
        <f t="shared" si="14"/>
        <v>0</v>
      </c>
      <c r="AB24" s="99">
        <v>0</v>
      </c>
      <c r="AC24" s="99">
        <f>G24*0</f>
        <v>0</v>
      </c>
      <c r="AD24" s="99">
        <f>G24*(1-0)</f>
        <v>0</v>
      </c>
      <c r="AE24" s="98">
        <v>0</v>
      </c>
      <c r="AK24" s="99">
        <f t="shared" si="15"/>
        <v>0</v>
      </c>
      <c r="AL24" s="99">
        <f t="shared" si="16"/>
        <v>0</v>
      </c>
      <c r="AM24" s="100" t="s">
        <v>756</v>
      </c>
      <c r="AN24" s="100" t="s">
        <v>757</v>
      </c>
      <c r="AO24" s="90" t="s">
        <v>758</v>
      </c>
      <c r="AQ24" s="99">
        <f t="shared" si="17"/>
        <v>0</v>
      </c>
      <c r="AR24" s="99">
        <f t="shared" si="18"/>
        <v>0</v>
      </c>
      <c r="AS24" s="99">
        <v>0</v>
      </c>
      <c r="AT24" s="99">
        <f t="shared" si="19"/>
        <v>0</v>
      </c>
    </row>
    <row r="25" spans="1:46">
      <c r="A25" s="94" t="s">
        <v>783</v>
      </c>
      <c r="B25" s="94"/>
      <c r="C25" s="94" t="s">
        <v>784</v>
      </c>
      <c r="D25" s="95" t="s">
        <v>785</v>
      </c>
      <c r="E25" s="95" t="s">
        <v>52</v>
      </c>
      <c r="F25" s="96">
        <v>2</v>
      </c>
      <c r="G25" s="96"/>
      <c r="H25" s="97">
        <f t="shared" si="0"/>
        <v>0</v>
      </c>
      <c r="I25" s="97">
        <f t="shared" si="1"/>
        <v>0</v>
      </c>
      <c r="J25" s="97">
        <f t="shared" si="2"/>
        <v>0</v>
      </c>
      <c r="K25" s="97">
        <v>0</v>
      </c>
      <c r="L25" s="97">
        <f t="shared" si="3"/>
        <v>0</v>
      </c>
      <c r="M25" s="98" t="s">
        <v>755</v>
      </c>
      <c r="N25" s="99">
        <f t="shared" si="4"/>
        <v>0</v>
      </c>
      <c r="P25" s="99">
        <f t="shared" si="5"/>
        <v>0</v>
      </c>
      <c r="Q25" s="99">
        <f t="shared" si="6"/>
        <v>0</v>
      </c>
      <c r="R25" s="99">
        <f t="shared" si="7"/>
        <v>0</v>
      </c>
      <c r="S25" s="99">
        <f t="shared" si="8"/>
        <v>0</v>
      </c>
      <c r="T25" s="99">
        <f t="shared" si="9"/>
        <v>0</v>
      </c>
      <c r="U25" s="99">
        <f t="shared" si="10"/>
        <v>0</v>
      </c>
      <c r="V25" s="99">
        <f t="shared" si="11"/>
        <v>0</v>
      </c>
      <c r="W25" s="90"/>
      <c r="X25" s="97">
        <f t="shared" si="12"/>
        <v>0</v>
      </c>
      <c r="Y25" s="97">
        <f t="shared" si="13"/>
        <v>0</v>
      </c>
      <c r="Z25" s="97">
        <f t="shared" si="14"/>
        <v>0</v>
      </c>
      <c r="AB25" s="99">
        <v>0</v>
      </c>
      <c r="AC25" s="99">
        <f>G25*0</f>
        <v>0</v>
      </c>
      <c r="AD25" s="99">
        <f>G25*(1-0)</f>
        <v>0</v>
      </c>
      <c r="AE25" s="98">
        <v>0</v>
      </c>
      <c r="AK25" s="99">
        <f t="shared" si="15"/>
        <v>0</v>
      </c>
      <c r="AL25" s="99">
        <f t="shared" si="16"/>
        <v>0</v>
      </c>
      <c r="AM25" s="100" t="s">
        <v>756</v>
      </c>
      <c r="AN25" s="100" t="s">
        <v>757</v>
      </c>
      <c r="AO25" s="90" t="s">
        <v>758</v>
      </c>
      <c r="AQ25" s="99">
        <f t="shared" si="17"/>
        <v>0</v>
      </c>
      <c r="AR25" s="99">
        <f t="shared" si="18"/>
        <v>0</v>
      </c>
      <c r="AS25" s="99">
        <v>0</v>
      </c>
      <c r="AT25" s="99">
        <f t="shared" si="19"/>
        <v>0</v>
      </c>
    </row>
    <row r="26" spans="1:46">
      <c r="A26" s="94" t="s">
        <v>786</v>
      </c>
      <c r="B26" s="94"/>
      <c r="C26" s="94" t="s">
        <v>787</v>
      </c>
      <c r="D26" s="95" t="s">
        <v>788</v>
      </c>
      <c r="E26" s="95" t="s">
        <v>52</v>
      </c>
      <c r="F26" s="96">
        <v>11</v>
      </c>
      <c r="G26" s="96"/>
      <c r="H26" s="97">
        <f t="shared" si="0"/>
        <v>0</v>
      </c>
      <c r="I26" s="97">
        <f t="shared" si="1"/>
        <v>0</v>
      </c>
      <c r="J26" s="97">
        <f t="shared" si="2"/>
        <v>0</v>
      </c>
      <c r="K26" s="97">
        <v>0</v>
      </c>
      <c r="L26" s="97">
        <f t="shared" si="3"/>
        <v>0</v>
      </c>
      <c r="M26" s="98" t="s">
        <v>755</v>
      </c>
      <c r="N26" s="99">
        <f t="shared" si="4"/>
        <v>0</v>
      </c>
      <c r="P26" s="99">
        <f t="shared" si="5"/>
        <v>0</v>
      </c>
      <c r="Q26" s="99">
        <f t="shared" si="6"/>
        <v>0</v>
      </c>
      <c r="R26" s="99">
        <f t="shared" si="7"/>
        <v>0</v>
      </c>
      <c r="S26" s="99">
        <f t="shared" si="8"/>
        <v>0</v>
      </c>
      <c r="T26" s="99">
        <f t="shared" si="9"/>
        <v>0</v>
      </c>
      <c r="U26" s="99">
        <f t="shared" si="10"/>
        <v>0</v>
      </c>
      <c r="V26" s="99">
        <f t="shared" si="11"/>
        <v>0</v>
      </c>
      <c r="W26" s="90"/>
      <c r="X26" s="97">
        <f t="shared" si="12"/>
        <v>0</v>
      </c>
      <c r="Y26" s="97">
        <f t="shared" si="13"/>
        <v>0</v>
      </c>
      <c r="Z26" s="97">
        <f t="shared" si="14"/>
        <v>0</v>
      </c>
      <c r="AB26" s="99">
        <v>0</v>
      </c>
      <c r="AC26" s="99">
        <f>G26*0</f>
        <v>0</v>
      </c>
      <c r="AD26" s="99">
        <f>G26*(1-0)</f>
        <v>0</v>
      </c>
      <c r="AE26" s="98">
        <v>0</v>
      </c>
      <c r="AK26" s="99">
        <f t="shared" si="15"/>
        <v>0</v>
      </c>
      <c r="AL26" s="99">
        <f t="shared" si="16"/>
        <v>0</v>
      </c>
      <c r="AM26" s="100" t="s">
        <v>756</v>
      </c>
      <c r="AN26" s="100" t="s">
        <v>757</v>
      </c>
      <c r="AO26" s="90" t="s">
        <v>758</v>
      </c>
      <c r="AQ26" s="99">
        <f t="shared" si="17"/>
        <v>0</v>
      </c>
      <c r="AR26" s="99">
        <f t="shared" si="18"/>
        <v>0</v>
      </c>
      <c r="AS26" s="99">
        <v>0</v>
      </c>
      <c r="AT26" s="99">
        <f t="shared" si="19"/>
        <v>0</v>
      </c>
    </row>
    <row r="27" spans="1:46" ht="25.5">
      <c r="A27" s="94" t="s">
        <v>789</v>
      </c>
      <c r="B27" s="94"/>
      <c r="C27" s="94" t="s">
        <v>790</v>
      </c>
      <c r="D27" s="95" t="s">
        <v>791</v>
      </c>
      <c r="E27" s="95" t="s">
        <v>792</v>
      </c>
      <c r="F27" s="96">
        <v>2</v>
      </c>
      <c r="G27" s="96"/>
      <c r="H27" s="97">
        <f t="shared" si="0"/>
        <v>0</v>
      </c>
      <c r="I27" s="97">
        <f t="shared" si="1"/>
        <v>0</v>
      </c>
      <c r="J27" s="97">
        <f t="shared" si="2"/>
        <v>0</v>
      </c>
      <c r="K27" s="97">
        <v>1.1999999999999999E-3</v>
      </c>
      <c r="L27" s="97">
        <f t="shared" si="3"/>
        <v>2.3999999999999998E-3</v>
      </c>
      <c r="M27" s="98"/>
      <c r="N27" s="99">
        <f t="shared" si="4"/>
        <v>0</v>
      </c>
      <c r="P27" s="99">
        <f t="shared" si="5"/>
        <v>0</v>
      </c>
      <c r="Q27" s="99">
        <f t="shared" si="6"/>
        <v>0</v>
      </c>
      <c r="R27" s="99">
        <f t="shared" si="7"/>
        <v>0</v>
      </c>
      <c r="S27" s="99">
        <f t="shared" si="8"/>
        <v>0</v>
      </c>
      <c r="T27" s="99">
        <f t="shared" si="9"/>
        <v>0</v>
      </c>
      <c r="U27" s="99">
        <f t="shared" si="10"/>
        <v>0</v>
      </c>
      <c r="V27" s="99">
        <f t="shared" si="11"/>
        <v>0</v>
      </c>
      <c r="W27" s="90"/>
      <c r="X27" s="97">
        <f t="shared" si="12"/>
        <v>0</v>
      </c>
      <c r="Y27" s="97">
        <f t="shared" si="13"/>
        <v>0</v>
      </c>
      <c r="Z27" s="97">
        <f t="shared" si="14"/>
        <v>0</v>
      </c>
      <c r="AB27" s="99">
        <v>0</v>
      </c>
      <c r="AC27" s="99">
        <f>G27*0.791666666666667</f>
        <v>0</v>
      </c>
      <c r="AD27" s="99">
        <f>G27*(1-0.791666666666667)</f>
        <v>0</v>
      </c>
      <c r="AE27" s="98">
        <v>0</v>
      </c>
      <c r="AK27" s="99">
        <f t="shared" si="15"/>
        <v>0</v>
      </c>
      <c r="AL27" s="99">
        <f t="shared" si="16"/>
        <v>0</v>
      </c>
      <c r="AM27" s="100" t="s">
        <v>756</v>
      </c>
      <c r="AN27" s="100" t="s">
        <v>757</v>
      </c>
      <c r="AO27" s="90" t="s">
        <v>758</v>
      </c>
      <c r="AQ27" s="99">
        <f t="shared" si="17"/>
        <v>0</v>
      </c>
      <c r="AR27" s="99">
        <f t="shared" si="18"/>
        <v>0</v>
      </c>
      <c r="AS27" s="99">
        <v>0</v>
      </c>
      <c r="AT27" s="99">
        <f t="shared" si="19"/>
        <v>2.3999999999999998E-3</v>
      </c>
    </row>
    <row r="28" spans="1:46">
      <c r="A28" s="94" t="s">
        <v>793</v>
      </c>
      <c r="B28" s="94"/>
      <c r="C28" s="94" t="s">
        <v>794</v>
      </c>
      <c r="D28" s="95" t="s">
        <v>795</v>
      </c>
      <c r="E28" s="95" t="s">
        <v>52</v>
      </c>
      <c r="F28" s="96">
        <v>1</v>
      </c>
      <c r="G28" s="96"/>
      <c r="H28" s="97">
        <f t="shared" si="0"/>
        <v>0</v>
      </c>
      <c r="I28" s="97">
        <f t="shared" si="1"/>
        <v>0</v>
      </c>
      <c r="J28" s="97">
        <f t="shared" si="2"/>
        <v>0</v>
      </c>
      <c r="K28" s="97">
        <v>2.7E-4</v>
      </c>
      <c r="L28" s="97">
        <f t="shared" si="3"/>
        <v>2.7E-4</v>
      </c>
      <c r="M28" s="98" t="s">
        <v>755</v>
      </c>
      <c r="N28" s="99">
        <f t="shared" si="4"/>
        <v>0</v>
      </c>
      <c r="P28" s="99">
        <f t="shared" si="5"/>
        <v>0</v>
      </c>
      <c r="Q28" s="99">
        <f t="shared" si="6"/>
        <v>0</v>
      </c>
      <c r="R28" s="99">
        <f t="shared" si="7"/>
        <v>0</v>
      </c>
      <c r="S28" s="99">
        <f t="shared" si="8"/>
        <v>0</v>
      </c>
      <c r="T28" s="99">
        <f t="shared" si="9"/>
        <v>0</v>
      </c>
      <c r="U28" s="99">
        <f t="shared" si="10"/>
        <v>0</v>
      </c>
      <c r="V28" s="99">
        <f t="shared" si="11"/>
        <v>0</v>
      </c>
      <c r="W28" s="90"/>
      <c r="X28" s="97">
        <f t="shared" si="12"/>
        <v>0</v>
      </c>
      <c r="Y28" s="97">
        <f t="shared" si="13"/>
        <v>0</v>
      </c>
      <c r="Z28" s="97">
        <f t="shared" si="14"/>
        <v>0</v>
      </c>
      <c r="AB28" s="99">
        <v>0</v>
      </c>
      <c r="AC28" s="99">
        <f>G28*0.814212598425197</f>
        <v>0</v>
      </c>
      <c r="AD28" s="99">
        <f>G28*(1-0.814212598425197)</f>
        <v>0</v>
      </c>
      <c r="AE28" s="98">
        <v>0</v>
      </c>
      <c r="AK28" s="99">
        <f t="shared" si="15"/>
        <v>0</v>
      </c>
      <c r="AL28" s="99">
        <f t="shared" si="16"/>
        <v>0</v>
      </c>
      <c r="AM28" s="100" t="s">
        <v>756</v>
      </c>
      <c r="AN28" s="100" t="s">
        <v>757</v>
      </c>
      <c r="AO28" s="90" t="s">
        <v>758</v>
      </c>
      <c r="AQ28" s="99">
        <f t="shared" si="17"/>
        <v>0</v>
      </c>
      <c r="AR28" s="99">
        <f t="shared" si="18"/>
        <v>0</v>
      </c>
      <c r="AS28" s="99">
        <v>0</v>
      </c>
      <c r="AT28" s="99">
        <f t="shared" si="19"/>
        <v>2.7E-4</v>
      </c>
    </row>
    <row r="29" spans="1:46" ht="25.5">
      <c r="A29" s="94" t="s">
        <v>796</v>
      </c>
      <c r="B29" s="94"/>
      <c r="C29" s="94" t="s">
        <v>797</v>
      </c>
      <c r="D29" s="95" t="s">
        <v>798</v>
      </c>
      <c r="E29" s="95" t="s">
        <v>52</v>
      </c>
      <c r="F29" s="96">
        <v>7</v>
      </c>
      <c r="G29" s="96"/>
      <c r="H29" s="97">
        <f t="shared" si="0"/>
        <v>0</v>
      </c>
      <c r="I29" s="97">
        <f t="shared" si="1"/>
        <v>0</v>
      </c>
      <c r="J29" s="97">
        <f t="shared" si="2"/>
        <v>0</v>
      </c>
      <c r="K29" s="97">
        <v>4.8999999999999998E-4</v>
      </c>
      <c r="L29" s="97">
        <f t="shared" si="3"/>
        <v>3.4299999999999999E-3</v>
      </c>
      <c r="M29" s="98" t="s">
        <v>755</v>
      </c>
      <c r="N29" s="99">
        <f t="shared" si="4"/>
        <v>0</v>
      </c>
      <c r="P29" s="99">
        <f t="shared" si="5"/>
        <v>0</v>
      </c>
      <c r="Q29" s="99">
        <f t="shared" si="6"/>
        <v>0</v>
      </c>
      <c r="R29" s="99">
        <f t="shared" si="7"/>
        <v>0</v>
      </c>
      <c r="S29" s="99">
        <f t="shared" si="8"/>
        <v>0</v>
      </c>
      <c r="T29" s="99">
        <f t="shared" si="9"/>
        <v>0</v>
      </c>
      <c r="U29" s="99">
        <f t="shared" si="10"/>
        <v>0</v>
      </c>
      <c r="V29" s="99">
        <f t="shared" si="11"/>
        <v>0</v>
      </c>
      <c r="W29" s="90"/>
      <c r="X29" s="97">
        <f t="shared" si="12"/>
        <v>0</v>
      </c>
      <c r="Y29" s="97">
        <f t="shared" si="13"/>
        <v>0</v>
      </c>
      <c r="Z29" s="97">
        <f t="shared" si="14"/>
        <v>0</v>
      </c>
      <c r="AB29" s="99">
        <v>0</v>
      </c>
      <c r="AC29" s="99">
        <f>G29*0.957159090909091</f>
        <v>0</v>
      </c>
      <c r="AD29" s="99">
        <f>G29*(1-0.957159090909091)</f>
        <v>0</v>
      </c>
      <c r="AE29" s="98">
        <v>0</v>
      </c>
      <c r="AK29" s="99">
        <f t="shared" si="15"/>
        <v>0</v>
      </c>
      <c r="AL29" s="99">
        <f t="shared" si="16"/>
        <v>0</v>
      </c>
      <c r="AM29" s="100" t="s">
        <v>756</v>
      </c>
      <c r="AN29" s="100" t="s">
        <v>757</v>
      </c>
      <c r="AO29" s="90" t="s">
        <v>758</v>
      </c>
      <c r="AQ29" s="99">
        <f t="shared" si="17"/>
        <v>0</v>
      </c>
      <c r="AR29" s="99">
        <f t="shared" si="18"/>
        <v>0</v>
      </c>
      <c r="AS29" s="99">
        <v>0</v>
      </c>
      <c r="AT29" s="99">
        <f t="shared" si="19"/>
        <v>3.4299999999999999E-3</v>
      </c>
    </row>
    <row r="30" spans="1:46" ht="38.25">
      <c r="A30" s="94" t="s">
        <v>799</v>
      </c>
      <c r="B30" s="94"/>
      <c r="C30" s="94" t="s">
        <v>800</v>
      </c>
      <c r="D30" s="95" t="s">
        <v>801</v>
      </c>
      <c r="E30" s="95" t="s">
        <v>792</v>
      </c>
      <c r="F30" s="96">
        <v>1</v>
      </c>
      <c r="G30" s="96"/>
      <c r="H30" s="97">
        <f t="shared" si="0"/>
        <v>0</v>
      </c>
      <c r="I30" s="97">
        <f t="shared" si="1"/>
        <v>0</v>
      </c>
      <c r="J30" s="97">
        <f t="shared" si="2"/>
        <v>0</v>
      </c>
      <c r="K30" s="97">
        <v>5.0000000000000001E-3</v>
      </c>
      <c r="L30" s="97">
        <f t="shared" si="3"/>
        <v>5.0000000000000001E-3</v>
      </c>
      <c r="M30" s="98"/>
      <c r="N30" s="99">
        <f t="shared" si="4"/>
        <v>0</v>
      </c>
      <c r="P30" s="99">
        <f t="shared" si="5"/>
        <v>0</v>
      </c>
      <c r="Q30" s="99">
        <f t="shared" si="6"/>
        <v>0</v>
      </c>
      <c r="R30" s="99">
        <f t="shared" si="7"/>
        <v>0</v>
      </c>
      <c r="S30" s="99">
        <f t="shared" si="8"/>
        <v>0</v>
      </c>
      <c r="T30" s="99">
        <f t="shared" si="9"/>
        <v>0</v>
      </c>
      <c r="U30" s="99">
        <f t="shared" si="10"/>
        <v>0</v>
      </c>
      <c r="V30" s="99">
        <f t="shared" si="11"/>
        <v>0</v>
      </c>
      <c r="W30" s="90"/>
      <c r="X30" s="97">
        <f t="shared" si="12"/>
        <v>0</v>
      </c>
      <c r="Y30" s="97">
        <f t="shared" si="13"/>
        <v>0</v>
      </c>
      <c r="Z30" s="97">
        <f t="shared" si="14"/>
        <v>0</v>
      </c>
      <c r="AB30" s="99">
        <v>0</v>
      </c>
      <c r="AC30" s="99">
        <f>G30*0.8</f>
        <v>0</v>
      </c>
      <c r="AD30" s="99">
        <f>G30*(1-0.8)</f>
        <v>0</v>
      </c>
      <c r="AE30" s="98">
        <v>0</v>
      </c>
      <c r="AK30" s="99">
        <f t="shared" si="15"/>
        <v>0</v>
      </c>
      <c r="AL30" s="99">
        <f t="shared" si="16"/>
        <v>0</v>
      </c>
      <c r="AM30" s="100" t="s">
        <v>756</v>
      </c>
      <c r="AN30" s="100" t="s">
        <v>757</v>
      </c>
      <c r="AO30" s="90" t="s">
        <v>758</v>
      </c>
      <c r="AQ30" s="99">
        <f t="shared" si="17"/>
        <v>0</v>
      </c>
      <c r="AR30" s="99">
        <f t="shared" si="18"/>
        <v>0</v>
      </c>
      <c r="AS30" s="99">
        <v>0</v>
      </c>
      <c r="AT30" s="99">
        <f t="shared" si="19"/>
        <v>5.0000000000000001E-3</v>
      </c>
    </row>
    <row r="31" spans="1:46">
      <c r="A31" s="94" t="s">
        <v>802</v>
      </c>
      <c r="B31" s="94"/>
      <c r="C31" s="94" t="s">
        <v>803</v>
      </c>
      <c r="D31" s="95" t="s">
        <v>804</v>
      </c>
      <c r="E31" s="95" t="s">
        <v>792</v>
      </c>
      <c r="F31" s="96">
        <v>1</v>
      </c>
      <c r="G31" s="96"/>
      <c r="H31" s="97">
        <f t="shared" si="0"/>
        <v>0</v>
      </c>
      <c r="I31" s="97">
        <f t="shared" si="1"/>
        <v>0</v>
      </c>
      <c r="J31" s="97">
        <f t="shared" si="2"/>
        <v>0</v>
      </c>
      <c r="K31" s="97">
        <v>1E-3</v>
      </c>
      <c r="L31" s="97">
        <f t="shared" si="3"/>
        <v>1E-3</v>
      </c>
      <c r="M31" s="98"/>
      <c r="N31" s="99">
        <f t="shared" si="4"/>
        <v>0</v>
      </c>
      <c r="P31" s="99">
        <f t="shared" si="5"/>
        <v>0</v>
      </c>
      <c r="Q31" s="99">
        <f t="shared" si="6"/>
        <v>0</v>
      </c>
      <c r="R31" s="99">
        <f t="shared" si="7"/>
        <v>0</v>
      </c>
      <c r="S31" s="99">
        <f t="shared" si="8"/>
        <v>0</v>
      </c>
      <c r="T31" s="99">
        <f t="shared" si="9"/>
        <v>0</v>
      </c>
      <c r="U31" s="99">
        <f t="shared" si="10"/>
        <v>0</v>
      </c>
      <c r="V31" s="99">
        <f t="shared" si="11"/>
        <v>0</v>
      </c>
      <c r="W31" s="90"/>
      <c r="X31" s="97">
        <f t="shared" si="12"/>
        <v>0</v>
      </c>
      <c r="Y31" s="97">
        <f t="shared" si="13"/>
        <v>0</v>
      </c>
      <c r="Z31" s="97">
        <f t="shared" si="14"/>
        <v>0</v>
      </c>
      <c r="AB31" s="99">
        <v>0</v>
      </c>
      <c r="AC31" s="99">
        <f>G31*0.739130434782609</f>
        <v>0</v>
      </c>
      <c r="AD31" s="99">
        <f>G31*(1-0.739130434782609)</f>
        <v>0</v>
      </c>
      <c r="AE31" s="98">
        <v>0</v>
      </c>
      <c r="AK31" s="99">
        <f t="shared" si="15"/>
        <v>0</v>
      </c>
      <c r="AL31" s="99">
        <f t="shared" si="16"/>
        <v>0</v>
      </c>
      <c r="AM31" s="100" t="s">
        <v>756</v>
      </c>
      <c r="AN31" s="100" t="s">
        <v>757</v>
      </c>
      <c r="AO31" s="90" t="s">
        <v>758</v>
      </c>
      <c r="AQ31" s="99">
        <f t="shared" si="17"/>
        <v>0</v>
      </c>
      <c r="AR31" s="99">
        <f t="shared" si="18"/>
        <v>0</v>
      </c>
      <c r="AS31" s="99">
        <v>0</v>
      </c>
      <c r="AT31" s="99">
        <f t="shared" si="19"/>
        <v>1E-3</v>
      </c>
    </row>
    <row r="32" spans="1:46" ht="25.5">
      <c r="A32" s="94" t="s">
        <v>805</v>
      </c>
      <c r="B32" s="94"/>
      <c r="C32" s="94" t="s">
        <v>806</v>
      </c>
      <c r="D32" s="95" t="s">
        <v>807</v>
      </c>
      <c r="E32" s="95" t="s">
        <v>792</v>
      </c>
      <c r="F32" s="96">
        <v>8</v>
      </c>
      <c r="G32" s="96"/>
      <c r="H32" s="97">
        <f t="shared" si="0"/>
        <v>0</v>
      </c>
      <c r="I32" s="97">
        <f t="shared" si="1"/>
        <v>0</v>
      </c>
      <c r="J32" s="97">
        <f t="shared" si="2"/>
        <v>0</v>
      </c>
      <c r="K32" s="97">
        <v>1E-3</v>
      </c>
      <c r="L32" s="97">
        <f t="shared" si="3"/>
        <v>8.0000000000000002E-3</v>
      </c>
      <c r="M32" s="98"/>
      <c r="N32" s="99">
        <f t="shared" si="4"/>
        <v>0</v>
      </c>
      <c r="P32" s="99">
        <f t="shared" si="5"/>
        <v>0</v>
      </c>
      <c r="Q32" s="99">
        <f t="shared" si="6"/>
        <v>0</v>
      </c>
      <c r="R32" s="99">
        <f t="shared" si="7"/>
        <v>0</v>
      </c>
      <c r="S32" s="99">
        <f t="shared" si="8"/>
        <v>0</v>
      </c>
      <c r="T32" s="99">
        <f t="shared" si="9"/>
        <v>0</v>
      </c>
      <c r="U32" s="99">
        <f t="shared" si="10"/>
        <v>0</v>
      </c>
      <c r="V32" s="99">
        <f t="shared" si="11"/>
        <v>0</v>
      </c>
      <c r="W32" s="90"/>
      <c r="X32" s="97">
        <f t="shared" si="12"/>
        <v>0</v>
      </c>
      <c r="Y32" s="97">
        <f t="shared" si="13"/>
        <v>0</v>
      </c>
      <c r="Z32" s="97">
        <f t="shared" si="14"/>
        <v>0</v>
      </c>
      <c r="AB32" s="99">
        <v>0</v>
      </c>
      <c r="AC32" s="99">
        <f>G32*0.692307692307692</f>
        <v>0</v>
      </c>
      <c r="AD32" s="99">
        <f>G32*(1-0.692307692307692)</f>
        <v>0</v>
      </c>
      <c r="AE32" s="98">
        <v>0</v>
      </c>
      <c r="AK32" s="99">
        <f t="shared" si="15"/>
        <v>0</v>
      </c>
      <c r="AL32" s="99">
        <f t="shared" si="16"/>
        <v>0</v>
      </c>
      <c r="AM32" s="100" t="s">
        <v>756</v>
      </c>
      <c r="AN32" s="100" t="s">
        <v>757</v>
      </c>
      <c r="AO32" s="90" t="s">
        <v>758</v>
      </c>
      <c r="AQ32" s="99">
        <f t="shared" si="17"/>
        <v>0</v>
      </c>
      <c r="AR32" s="99">
        <f t="shared" si="18"/>
        <v>0</v>
      </c>
      <c r="AS32" s="99">
        <v>0</v>
      </c>
      <c r="AT32" s="99">
        <f t="shared" si="19"/>
        <v>8.0000000000000002E-3</v>
      </c>
    </row>
    <row r="33" spans="1:46" ht="25.5">
      <c r="A33" s="94" t="s">
        <v>808</v>
      </c>
      <c r="B33" s="94"/>
      <c r="C33" s="94" t="s">
        <v>806</v>
      </c>
      <c r="D33" s="95" t="s">
        <v>809</v>
      </c>
      <c r="E33" s="95" t="s">
        <v>792</v>
      </c>
      <c r="F33" s="96">
        <v>8</v>
      </c>
      <c r="G33" s="96"/>
      <c r="H33" s="97">
        <f t="shared" si="0"/>
        <v>0</v>
      </c>
      <c r="I33" s="97">
        <f t="shared" si="1"/>
        <v>0</v>
      </c>
      <c r="J33" s="97">
        <f t="shared" si="2"/>
        <v>0</v>
      </c>
      <c r="K33" s="97">
        <v>1E-3</v>
      </c>
      <c r="L33" s="97">
        <f t="shared" si="3"/>
        <v>8.0000000000000002E-3</v>
      </c>
      <c r="M33" s="98"/>
      <c r="N33" s="99">
        <f t="shared" si="4"/>
        <v>0</v>
      </c>
      <c r="P33" s="99">
        <f t="shared" si="5"/>
        <v>0</v>
      </c>
      <c r="Q33" s="99">
        <f t="shared" si="6"/>
        <v>0</v>
      </c>
      <c r="R33" s="99">
        <f t="shared" si="7"/>
        <v>0</v>
      </c>
      <c r="S33" s="99">
        <f t="shared" si="8"/>
        <v>0</v>
      </c>
      <c r="T33" s="99">
        <f t="shared" si="9"/>
        <v>0</v>
      </c>
      <c r="U33" s="99">
        <f t="shared" si="10"/>
        <v>0</v>
      </c>
      <c r="V33" s="99">
        <f t="shared" si="11"/>
        <v>0</v>
      </c>
      <c r="W33" s="90"/>
      <c r="X33" s="97">
        <f t="shared" si="12"/>
        <v>0</v>
      </c>
      <c r="Y33" s="97">
        <f t="shared" si="13"/>
        <v>0</v>
      </c>
      <c r="Z33" s="97">
        <f t="shared" si="14"/>
        <v>0</v>
      </c>
      <c r="AB33" s="99">
        <v>0</v>
      </c>
      <c r="AC33" s="99">
        <f>G33*0.692307692307692</f>
        <v>0</v>
      </c>
      <c r="AD33" s="99">
        <f>G33*(1-0.692307692307692)</f>
        <v>0</v>
      </c>
      <c r="AE33" s="98">
        <v>0</v>
      </c>
      <c r="AK33" s="99">
        <f t="shared" si="15"/>
        <v>0</v>
      </c>
      <c r="AL33" s="99">
        <f t="shared" si="16"/>
        <v>0</v>
      </c>
      <c r="AM33" s="100" t="s">
        <v>756</v>
      </c>
      <c r="AN33" s="100" t="s">
        <v>757</v>
      </c>
      <c r="AO33" s="90" t="s">
        <v>758</v>
      </c>
      <c r="AQ33" s="99">
        <f t="shared" si="17"/>
        <v>0</v>
      </c>
      <c r="AR33" s="99">
        <f t="shared" si="18"/>
        <v>0</v>
      </c>
      <c r="AS33" s="99">
        <v>0</v>
      </c>
      <c r="AT33" s="99">
        <f t="shared" si="19"/>
        <v>8.0000000000000002E-3</v>
      </c>
    </row>
    <row r="34" spans="1:46" ht="25.5">
      <c r="A34" s="94" t="s">
        <v>810</v>
      </c>
      <c r="B34" s="94"/>
      <c r="C34" s="94" t="s">
        <v>811</v>
      </c>
      <c r="D34" s="95" t="s">
        <v>812</v>
      </c>
      <c r="E34" s="95" t="s">
        <v>813</v>
      </c>
      <c r="F34" s="96">
        <v>10</v>
      </c>
      <c r="G34" s="96"/>
      <c r="H34" s="97">
        <f t="shared" si="0"/>
        <v>0</v>
      </c>
      <c r="I34" s="97">
        <f t="shared" si="1"/>
        <v>0</v>
      </c>
      <c r="J34" s="97">
        <f t="shared" si="2"/>
        <v>0</v>
      </c>
      <c r="K34" s="97">
        <v>0</v>
      </c>
      <c r="L34" s="97">
        <f t="shared" si="3"/>
        <v>0</v>
      </c>
      <c r="M34" s="98"/>
      <c r="N34" s="99">
        <f t="shared" si="4"/>
        <v>0</v>
      </c>
      <c r="P34" s="99">
        <f t="shared" si="5"/>
        <v>0</v>
      </c>
      <c r="Q34" s="99">
        <f t="shared" si="6"/>
        <v>0</v>
      </c>
      <c r="R34" s="99">
        <f t="shared" si="7"/>
        <v>0</v>
      </c>
      <c r="S34" s="99">
        <f t="shared" si="8"/>
        <v>0</v>
      </c>
      <c r="T34" s="99">
        <f t="shared" si="9"/>
        <v>0</v>
      </c>
      <c r="U34" s="99">
        <f t="shared" si="10"/>
        <v>0</v>
      </c>
      <c r="V34" s="99">
        <f t="shared" si="11"/>
        <v>0</v>
      </c>
      <c r="W34" s="90"/>
      <c r="X34" s="97">
        <f t="shared" si="12"/>
        <v>0</v>
      </c>
      <c r="Y34" s="97">
        <f t="shared" si="13"/>
        <v>0</v>
      </c>
      <c r="Z34" s="97">
        <f t="shared" si="14"/>
        <v>0</v>
      </c>
      <c r="AB34" s="99">
        <v>0</v>
      </c>
      <c r="AC34" s="99">
        <f>G34*0</f>
        <v>0</v>
      </c>
      <c r="AD34" s="99">
        <f>G34*(1-0)</f>
        <v>0</v>
      </c>
      <c r="AE34" s="98">
        <v>0</v>
      </c>
      <c r="AK34" s="99">
        <f t="shared" si="15"/>
        <v>0</v>
      </c>
      <c r="AL34" s="99">
        <f t="shared" si="16"/>
        <v>0</v>
      </c>
      <c r="AM34" s="100" t="s">
        <v>756</v>
      </c>
      <c r="AN34" s="100" t="s">
        <v>757</v>
      </c>
      <c r="AO34" s="90" t="s">
        <v>758</v>
      </c>
      <c r="AQ34" s="99">
        <f t="shared" si="17"/>
        <v>0</v>
      </c>
      <c r="AR34" s="99">
        <f t="shared" si="18"/>
        <v>0</v>
      </c>
      <c r="AS34" s="99">
        <v>0</v>
      </c>
      <c r="AT34" s="99">
        <f t="shared" si="19"/>
        <v>0</v>
      </c>
    </row>
    <row r="35" spans="1:46" ht="38.25">
      <c r="A35" s="94" t="s">
        <v>814</v>
      </c>
      <c r="B35" s="94"/>
      <c r="C35" s="94" t="s">
        <v>815</v>
      </c>
      <c r="D35" s="95" t="s">
        <v>816</v>
      </c>
      <c r="E35" s="95" t="s">
        <v>792</v>
      </c>
      <c r="F35" s="96">
        <v>3</v>
      </c>
      <c r="G35" s="96"/>
      <c r="H35" s="97">
        <f t="shared" si="0"/>
        <v>0</v>
      </c>
      <c r="I35" s="97">
        <f t="shared" si="1"/>
        <v>0</v>
      </c>
      <c r="J35" s="97">
        <f t="shared" si="2"/>
        <v>0</v>
      </c>
      <c r="K35" s="97">
        <v>7.0000000000000001E-3</v>
      </c>
      <c r="L35" s="97">
        <f t="shared" si="3"/>
        <v>2.1000000000000001E-2</v>
      </c>
      <c r="M35" s="98"/>
      <c r="N35" s="99">
        <f t="shared" si="4"/>
        <v>0</v>
      </c>
      <c r="P35" s="99">
        <f t="shared" si="5"/>
        <v>0</v>
      </c>
      <c r="Q35" s="99">
        <f t="shared" si="6"/>
        <v>0</v>
      </c>
      <c r="R35" s="99">
        <f t="shared" si="7"/>
        <v>0</v>
      </c>
      <c r="S35" s="99">
        <f t="shared" si="8"/>
        <v>0</v>
      </c>
      <c r="T35" s="99">
        <f t="shared" si="9"/>
        <v>0</v>
      </c>
      <c r="U35" s="99">
        <f t="shared" si="10"/>
        <v>0</v>
      </c>
      <c r="V35" s="99">
        <f t="shared" si="11"/>
        <v>0</v>
      </c>
      <c r="W35" s="90"/>
      <c r="X35" s="97">
        <f t="shared" si="12"/>
        <v>0</v>
      </c>
      <c r="Y35" s="97">
        <f t="shared" si="13"/>
        <v>0</v>
      </c>
      <c r="Z35" s="97">
        <f t="shared" si="14"/>
        <v>0</v>
      </c>
      <c r="AB35" s="99">
        <v>0</v>
      </c>
      <c r="AC35" s="99">
        <f>G35*0.855491329479769</f>
        <v>0</v>
      </c>
      <c r="AD35" s="99">
        <f>G35*(1-0.855491329479769)</f>
        <v>0</v>
      </c>
      <c r="AE35" s="98">
        <v>0</v>
      </c>
      <c r="AK35" s="99">
        <f t="shared" si="15"/>
        <v>0</v>
      </c>
      <c r="AL35" s="99">
        <f t="shared" si="16"/>
        <v>0</v>
      </c>
      <c r="AM35" s="100" t="s">
        <v>756</v>
      </c>
      <c r="AN35" s="100" t="s">
        <v>757</v>
      </c>
      <c r="AO35" s="90" t="s">
        <v>758</v>
      </c>
      <c r="AQ35" s="99">
        <f t="shared" si="17"/>
        <v>0</v>
      </c>
      <c r="AR35" s="99">
        <f t="shared" si="18"/>
        <v>0</v>
      </c>
      <c r="AS35" s="99">
        <v>0</v>
      </c>
      <c r="AT35" s="99">
        <f t="shared" si="19"/>
        <v>2.1000000000000001E-2</v>
      </c>
    </row>
    <row r="36" spans="1:46" ht="25.5">
      <c r="A36" s="94" t="s">
        <v>817</v>
      </c>
      <c r="B36" s="94"/>
      <c r="C36" s="94" t="s">
        <v>818</v>
      </c>
      <c r="D36" s="95" t="s">
        <v>819</v>
      </c>
      <c r="E36" s="95" t="s">
        <v>792</v>
      </c>
      <c r="F36" s="96">
        <v>2</v>
      </c>
      <c r="G36" s="96"/>
      <c r="H36" s="97">
        <f t="shared" si="0"/>
        <v>0</v>
      </c>
      <c r="I36" s="97">
        <f t="shared" si="1"/>
        <v>0</v>
      </c>
      <c r="J36" s="97">
        <f t="shared" si="2"/>
        <v>0</v>
      </c>
      <c r="K36" s="97">
        <v>0.05</v>
      </c>
      <c r="L36" s="97">
        <f t="shared" si="3"/>
        <v>0.1</v>
      </c>
      <c r="M36" s="98"/>
      <c r="N36" s="99">
        <f t="shared" si="4"/>
        <v>0</v>
      </c>
      <c r="P36" s="99">
        <f t="shared" si="5"/>
        <v>0</v>
      </c>
      <c r="Q36" s="99">
        <f t="shared" si="6"/>
        <v>0</v>
      </c>
      <c r="R36" s="99">
        <f t="shared" si="7"/>
        <v>0</v>
      </c>
      <c r="S36" s="99">
        <f t="shared" si="8"/>
        <v>0</v>
      </c>
      <c r="T36" s="99">
        <f t="shared" si="9"/>
        <v>0</v>
      </c>
      <c r="U36" s="99">
        <f t="shared" si="10"/>
        <v>0</v>
      </c>
      <c r="V36" s="99">
        <f t="shared" si="11"/>
        <v>0</v>
      </c>
      <c r="W36" s="90"/>
      <c r="X36" s="97">
        <f t="shared" si="12"/>
        <v>0</v>
      </c>
      <c r="Y36" s="97">
        <f t="shared" si="13"/>
        <v>0</v>
      </c>
      <c r="Z36" s="97">
        <f t="shared" si="14"/>
        <v>0</v>
      </c>
      <c r="AB36" s="99">
        <v>0</v>
      </c>
      <c r="AC36" s="99">
        <f>G36*0.842105263157895</f>
        <v>0</v>
      </c>
      <c r="AD36" s="99">
        <f>G36*(1-0.842105263157895)</f>
        <v>0</v>
      </c>
      <c r="AE36" s="98">
        <v>0</v>
      </c>
      <c r="AK36" s="99">
        <f t="shared" si="15"/>
        <v>0</v>
      </c>
      <c r="AL36" s="99">
        <f t="shared" si="16"/>
        <v>0</v>
      </c>
      <c r="AM36" s="100" t="s">
        <v>756</v>
      </c>
      <c r="AN36" s="100" t="s">
        <v>757</v>
      </c>
      <c r="AO36" s="90" t="s">
        <v>758</v>
      </c>
      <c r="AQ36" s="99">
        <f t="shared" si="17"/>
        <v>0</v>
      </c>
      <c r="AR36" s="99">
        <f t="shared" si="18"/>
        <v>0</v>
      </c>
      <c r="AS36" s="99">
        <v>0</v>
      </c>
      <c r="AT36" s="99">
        <f t="shared" si="19"/>
        <v>0.1</v>
      </c>
    </row>
    <row r="37" spans="1:46">
      <c r="A37" s="94" t="s">
        <v>820</v>
      </c>
      <c r="B37" s="94"/>
      <c r="C37" s="94" t="s">
        <v>821</v>
      </c>
      <c r="D37" s="95" t="s">
        <v>822</v>
      </c>
      <c r="E37" s="95" t="s">
        <v>62</v>
      </c>
      <c r="F37" s="96">
        <v>115</v>
      </c>
      <c r="G37" s="96"/>
      <c r="H37" s="97">
        <f t="shared" si="0"/>
        <v>0</v>
      </c>
      <c r="I37" s="97">
        <f t="shared" si="1"/>
        <v>0</v>
      </c>
      <c r="J37" s="97">
        <f t="shared" si="2"/>
        <v>0</v>
      </c>
      <c r="K37" s="97">
        <v>0</v>
      </c>
      <c r="L37" s="97">
        <f t="shared" si="3"/>
        <v>0</v>
      </c>
      <c r="M37" s="98" t="s">
        <v>755</v>
      </c>
      <c r="N37" s="99">
        <f t="shared" si="4"/>
        <v>0</v>
      </c>
      <c r="P37" s="99">
        <f t="shared" si="5"/>
        <v>0</v>
      </c>
      <c r="Q37" s="99">
        <f t="shared" si="6"/>
        <v>0</v>
      </c>
      <c r="R37" s="99">
        <f t="shared" si="7"/>
        <v>0</v>
      </c>
      <c r="S37" s="99">
        <f t="shared" si="8"/>
        <v>0</v>
      </c>
      <c r="T37" s="99">
        <f t="shared" si="9"/>
        <v>0</v>
      </c>
      <c r="U37" s="99">
        <f t="shared" si="10"/>
        <v>0</v>
      </c>
      <c r="V37" s="99">
        <f t="shared" si="11"/>
        <v>0</v>
      </c>
      <c r="W37" s="90"/>
      <c r="X37" s="97">
        <f t="shared" si="12"/>
        <v>0</v>
      </c>
      <c r="Y37" s="97">
        <f t="shared" si="13"/>
        <v>0</v>
      </c>
      <c r="Z37" s="97">
        <f t="shared" si="14"/>
        <v>0</v>
      </c>
      <c r="AB37" s="99">
        <v>0</v>
      </c>
      <c r="AC37" s="99">
        <f>G37*0.104205607476635</f>
        <v>0</v>
      </c>
      <c r="AD37" s="99">
        <f>G37*(1-0.104205607476635)</f>
        <v>0</v>
      </c>
      <c r="AE37" s="98">
        <v>0</v>
      </c>
      <c r="AK37" s="99">
        <f t="shared" si="15"/>
        <v>0</v>
      </c>
      <c r="AL37" s="99">
        <f t="shared" si="16"/>
        <v>0</v>
      </c>
      <c r="AM37" s="100" t="s">
        <v>756</v>
      </c>
      <c r="AN37" s="100" t="s">
        <v>757</v>
      </c>
      <c r="AO37" s="90" t="s">
        <v>758</v>
      </c>
      <c r="AQ37" s="99">
        <f t="shared" si="17"/>
        <v>0</v>
      </c>
      <c r="AR37" s="99">
        <f t="shared" si="18"/>
        <v>0</v>
      </c>
      <c r="AS37" s="99">
        <v>0</v>
      </c>
      <c r="AT37" s="99">
        <f t="shared" si="19"/>
        <v>0</v>
      </c>
    </row>
    <row r="38" spans="1:46">
      <c r="D38" s="101" t="s">
        <v>823</v>
      </c>
      <c r="E38" s="102"/>
      <c r="F38" s="103">
        <v>115</v>
      </c>
      <c r="G38" s="102"/>
    </row>
    <row r="39" spans="1:46">
      <c r="A39" s="94" t="s">
        <v>824</v>
      </c>
      <c r="B39" s="94"/>
      <c r="C39" s="94" t="s">
        <v>825</v>
      </c>
      <c r="D39" s="95" t="s">
        <v>826</v>
      </c>
      <c r="E39" s="95" t="s">
        <v>62</v>
      </c>
      <c r="F39" s="96">
        <v>69</v>
      </c>
      <c r="G39" s="96"/>
      <c r="H39" s="97">
        <f>F39*AC39</f>
        <v>0</v>
      </c>
      <c r="I39" s="97">
        <f>J39-H39</f>
        <v>0</v>
      </c>
      <c r="J39" s="97">
        <f>F39*G39</f>
        <v>0</v>
      </c>
      <c r="K39" s="97">
        <v>0</v>
      </c>
      <c r="L39" s="97">
        <f>F39*K39</f>
        <v>0</v>
      </c>
      <c r="M39" s="98" t="s">
        <v>755</v>
      </c>
      <c r="N39" s="99">
        <f>IF(AE39="5",J39,0)</f>
        <v>0</v>
      </c>
      <c r="P39" s="99">
        <f>IF(AE39="1",H39,0)</f>
        <v>0</v>
      </c>
      <c r="Q39" s="99">
        <f>IF(AE39="1",I39,0)</f>
        <v>0</v>
      </c>
      <c r="R39" s="99">
        <f>IF(AE39="7",H39,0)</f>
        <v>0</v>
      </c>
      <c r="S39" s="99">
        <f>IF(AE39="7",I39,0)</f>
        <v>0</v>
      </c>
      <c r="T39" s="99">
        <f>IF(AE39="2",H39,0)</f>
        <v>0</v>
      </c>
      <c r="U39" s="99">
        <f>IF(AE39="2",I39,0)</f>
        <v>0</v>
      </c>
      <c r="V39" s="99">
        <f>IF(AE39="0",J39,0)</f>
        <v>0</v>
      </c>
      <c r="W39" s="90"/>
      <c r="X39" s="97">
        <f>IF(AB39=0,J39,0)</f>
        <v>0</v>
      </c>
      <c r="Y39" s="97">
        <f>IF(AB39=15,J39,0)</f>
        <v>0</v>
      </c>
      <c r="Z39" s="97">
        <f>IF(AB39=21,J39,0)</f>
        <v>0</v>
      </c>
      <c r="AB39" s="99">
        <v>0</v>
      </c>
      <c r="AC39" s="99">
        <f>G39*0</f>
        <v>0</v>
      </c>
      <c r="AD39" s="99">
        <f>G39*(1-0)</f>
        <v>0</v>
      </c>
      <c r="AE39" s="98">
        <v>0</v>
      </c>
      <c r="AK39" s="99">
        <f>F39*AC39</f>
        <v>0</v>
      </c>
      <c r="AL39" s="99">
        <f>F39*AD39</f>
        <v>0</v>
      </c>
      <c r="AM39" s="100" t="s">
        <v>756</v>
      </c>
      <c r="AN39" s="100" t="s">
        <v>757</v>
      </c>
      <c r="AO39" s="90" t="s">
        <v>758</v>
      </c>
      <c r="AQ39" s="99">
        <f>AK39+AL39</f>
        <v>0</v>
      </c>
      <c r="AR39" s="99">
        <f>G39/(100-AS39)*100</f>
        <v>0</v>
      </c>
      <c r="AS39" s="99">
        <v>0</v>
      </c>
      <c r="AT39" s="99">
        <f>L39</f>
        <v>0</v>
      </c>
    </row>
    <row r="40" spans="1:46">
      <c r="D40" s="101" t="s">
        <v>827</v>
      </c>
      <c r="E40" s="102"/>
      <c r="F40" s="103">
        <v>69</v>
      </c>
      <c r="G40" s="102"/>
      <c r="N40" s="99">
        <f>IF(AE40="5",J40,0)</f>
        <v>0</v>
      </c>
    </row>
    <row r="41" spans="1:46">
      <c r="A41" s="91"/>
      <c r="B41" s="92"/>
      <c r="C41" s="92" t="s">
        <v>828</v>
      </c>
      <c r="D41" s="361" t="s">
        <v>829</v>
      </c>
      <c r="E41" s="362"/>
      <c r="F41" s="362"/>
      <c r="G41" s="362"/>
      <c r="H41" s="93">
        <f>SUM(H42:H89)</f>
        <v>0</v>
      </c>
      <c r="I41" s="93">
        <f>SUM(I42:I89)</f>
        <v>0</v>
      </c>
      <c r="J41" s="93">
        <f>H41+I41</f>
        <v>0</v>
      </c>
      <c r="K41" s="90"/>
      <c r="L41" s="93">
        <f>SUM(L42:L89)</f>
        <v>0.62092999999999998</v>
      </c>
      <c r="M41" s="90"/>
      <c r="N41" s="99">
        <f>IF(AE41="5",J41,0)</f>
        <v>0</v>
      </c>
      <c r="W41" s="90"/>
      <c r="AG41" s="93">
        <f>SUM(X42:X89)</f>
        <v>0</v>
      </c>
      <c r="AH41" s="93">
        <f>SUM(Y42:Y89)</f>
        <v>0</v>
      </c>
      <c r="AI41" s="93">
        <f>SUM(Z42:Z89)</f>
        <v>0</v>
      </c>
    </row>
    <row r="42" spans="1:46" ht="25.5">
      <c r="A42" s="94" t="s">
        <v>830</v>
      </c>
      <c r="B42" s="94"/>
      <c r="C42" s="94" t="s">
        <v>831</v>
      </c>
      <c r="D42" s="95" t="s">
        <v>832</v>
      </c>
      <c r="E42" s="95" t="s">
        <v>62</v>
      </c>
      <c r="F42" s="96">
        <v>15</v>
      </c>
      <c r="G42" s="96"/>
      <c r="H42" s="97">
        <f>F42*AC42</f>
        <v>0</v>
      </c>
      <c r="I42" s="97">
        <f>J42-H42</f>
        <v>0</v>
      </c>
      <c r="J42" s="97">
        <f>F42*G42</f>
        <v>0</v>
      </c>
      <c r="K42" s="97">
        <v>0</v>
      </c>
      <c r="L42" s="97">
        <f>F42*K42</f>
        <v>0</v>
      </c>
      <c r="M42" s="98"/>
      <c r="N42" s="99">
        <f>IF(AE42="5",J42,0)</f>
        <v>0</v>
      </c>
      <c r="P42" s="99">
        <f>IF(AE42="1",H42,0)</f>
        <v>0</v>
      </c>
      <c r="Q42" s="99">
        <f>IF(AE42="1",I42,0)</f>
        <v>0</v>
      </c>
      <c r="R42" s="99">
        <f>IF(AE42="7",H42,0)</f>
        <v>0</v>
      </c>
      <c r="S42" s="99">
        <f>IF(AE42="7",I42,0)</f>
        <v>0</v>
      </c>
      <c r="T42" s="99">
        <f>IF(AE42="2",H42,0)</f>
        <v>0</v>
      </c>
      <c r="U42" s="99">
        <f>IF(AE42="2",I42,0)</f>
        <v>0</v>
      </c>
      <c r="V42" s="99">
        <f>IF(AE42="0",J42,0)</f>
        <v>0</v>
      </c>
      <c r="W42" s="90"/>
      <c r="X42" s="97">
        <f>IF(AB42=0,J42,0)</f>
        <v>0</v>
      </c>
      <c r="Y42" s="97">
        <f>IF(AB42=15,J42,0)</f>
        <v>0</v>
      </c>
      <c r="Z42" s="97">
        <f>IF(AB42=21,J42,0)</f>
        <v>0</v>
      </c>
      <c r="AB42" s="99">
        <v>0</v>
      </c>
      <c r="AC42" s="99">
        <f>G42*0.578947368421053</f>
        <v>0</v>
      </c>
      <c r="AD42" s="99">
        <f>G42*(1-0.578947368421053)</f>
        <v>0</v>
      </c>
      <c r="AE42" s="98">
        <v>0</v>
      </c>
      <c r="AK42" s="99">
        <f>F42*AC42</f>
        <v>0</v>
      </c>
      <c r="AL42" s="99">
        <f>F42*AD42</f>
        <v>0</v>
      </c>
      <c r="AM42" s="100" t="s">
        <v>833</v>
      </c>
      <c r="AN42" s="100" t="s">
        <v>757</v>
      </c>
      <c r="AO42" s="90" t="s">
        <v>758</v>
      </c>
      <c r="AQ42" s="99">
        <f>AK42+AL42</f>
        <v>0</v>
      </c>
      <c r="AR42" s="99">
        <f>G42/(100-AS42)*100</f>
        <v>0</v>
      </c>
      <c r="AS42" s="99">
        <v>0</v>
      </c>
      <c r="AT42" s="99">
        <f>L42</f>
        <v>0</v>
      </c>
    </row>
    <row r="43" spans="1:46" ht="38.25">
      <c r="A43" s="94" t="s">
        <v>834</v>
      </c>
      <c r="B43" s="94"/>
      <c r="C43" s="94" t="s">
        <v>835</v>
      </c>
      <c r="D43" s="95" t="s">
        <v>836</v>
      </c>
      <c r="E43" s="95" t="s">
        <v>62</v>
      </c>
      <c r="F43" s="96">
        <v>15</v>
      </c>
      <c r="G43" s="96"/>
      <c r="H43" s="97">
        <f>F43*AC43</f>
        <v>0</v>
      </c>
      <c r="I43" s="97">
        <f>J43-H43</f>
        <v>0</v>
      </c>
      <c r="J43" s="97">
        <f>F43*G43</f>
        <v>0</v>
      </c>
      <c r="K43" s="97">
        <v>1.5900000000000001E-2</v>
      </c>
      <c r="L43" s="97">
        <f>F43*K43</f>
        <v>0.23850000000000002</v>
      </c>
      <c r="M43" s="98" t="s">
        <v>755</v>
      </c>
      <c r="N43" s="99">
        <f>IF(AE43="5",J43,0)</f>
        <v>0</v>
      </c>
      <c r="P43" s="99">
        <f>IF(AE43="1",H43,0)</f>
        <v>0</v>
      </c>
      <c r="Q43" s="99">
        <f>IF(AE43="1",I43,0)</f>
        <v>0</v>
      </c>
      <c r="R43" s="99">
        <f>IF(AE43="7",H43,0)</f>
        <v>0</v>
      </c>
      <c r="S43" s="99">
        <f>IF(AE43="7",I43,0)</f>
        <v>0</v>
      </c>
      <c r="T43" s="99">
        <f>IF(AE43="2",H43,0)</f>
        <v>0</v>
      </c>
      <c r="U43" s="99">
        <f>IF(AE43="2",I43,0)</f>
        <v>0</v>
      </c>
      <c r="V43" s="99">
        <f>IF(AE43="0",J43,0)</f>
        <v>0</v>
      </c>
      <c r="W43" s="90"/>
      <c r="X43" s="97">
        <f>IF(AB43=0,J43,0)</f>
        <v>0</v>
      </c>
      <c r="Y43" s="97">
        <f>IF(AB43=15,J43,0)</f>
        <v>0</v>
      </c>
      <c r="Z43" s="97">
        <f>IF(AB43=21,J43,0)</f>
        <v>0</v>
      </c>
      <c r="AB43" s="99">
        <v>0</v>
      </c>
      <c r="AC43" s="99">
        <f>G43*0.486431226765799</f>
        <v>0</v>
      </c>
      <c r="AD43" s="99">
        <f>G43*(1-0.486431226765799)</f>
        <v>0</v>
      </c>
      <c r="AE43" s="98">
        <v>0</v>
      </c>
      <c r="AK43" s="99">
        <f>F43*AC43</f>
        <v>0</v>
      </c>
      <c r="AL43" s="99">
        <f>F43*AD43</f>
        <v>0</v>
      </c>
      <c r="AM43" s="100" t="s">
        <v>833</v>
      </c>
      <c r="AN43" s="100" t="s">
        <v>757</v>
      </c>
      <c r="AO43" s="90" t="s">
        <v>758</v>
      </c>
      <c r="AQ43" s="99">
        <f>AK43+AL43</f>
        <v>0</v>
      </c>
      <c r="AR43" s="99">
        <f>G43/(100-AS43)*100</f>
        <v>0</v>
      </c>
      <c r="AS43" s="99">
        <v>0</v>
      </c>
      <c r="AT43" s="99">
        <f>L43</f>
        <v>0.23850000000000002</v>
      </c>
    </row>
    <row r="44" spans="1:46" ht="25.5">
      <c r="D44" s="101" t="s">
        <v>837</v>
      </c>
      <c r="E44" s="102"/>
      <c r="F44" s="103">
        <v>0</v>
      </c>
      <c r="G44" s="102"/>
    </row>
    <row r="45" spans="1:46" ht="25.5">
      <c r="A45" s="94" t="s">
        <v>838</v>
      </c>
      <c r="B45" s="94"/>
      <c r="C45" s="94" t="s">
        <v>839</v>
      </c>
      <c r="D45" s="95" t="s">
        <v>840</v>
      </c>
      <c r="E45" s="95" t="s">
        <v>62</v>
      </c>
      <c r="F45" s="96">
        <v>70</v>
      </c>
      <c r="G45" s="96"/>
      <c r="H45" s="97">
        <f>F45*AC45</f>
        <v>0</v>
      </c>
      <c r="I45" s="97">
        <f>J45-H45</f>
        <v>0</v>
      </c>
      <c r="J45" s="97">
        <f>F45*G45</f>
        <v>0</v>
      </c>
      <c r="K45" s="97">
        <v>5.5999999999999995E-4</v>
      </c>
      <c r="L45" s="97">
        <f>F45*K45</f>
        <v>3.9199999999999999E-2</v>
      </c>
      <c r="M45" s="98" t="s">
        <v>755</v>
      </c>
      <c r="N45" s="99">
        <f>IF(AE45="5",J45,0)</f>
        <v>0</v>
      </c>
      <c r="P45" s="99">
        <f>IF(AE45="1",H45,0)</f>
        <v>0</v>
      </c>
      <c r="Q45" s="99">
        <f>IF(AE45="1",I45,0)</f>
        <v>0</v>
      </c>
      <c r="R45" s="99">
        <f>IF(AE45="7",H45,0)</f>
        <v>0</v>
      </c>
      <c r="S45" s="99">
        <f>IF(AE45="7",I45,0)</f>
        <v>0</v>
      </c>
      <c r="T45" s="99">
        <f>IF(AE45="2",H45,0)</f>
        <v>0</v>
      </c>
      <c r="U45" s="99">
        <f>IF(AE45="2",I45,0)</f>
        <v>0</v>
      </c>
      <c r="V45" s="99">
        <f>IF(AE45="0",J45,0)</f>
        <v>0</v>
      </c>
      <c r="W45" s="90"/>
      <c r="X45" s="97">
        <f>IF(AB45=0,J45,0)</f>
        <v>0</v>
      </c>
      <c r="Y45" s="97">
        <f>IF(AB45=15,J45,0)</f>
        <v>0</v>
      </c>
      <c r="Z45" s="97">
        <f>IF(AB45=21,J45,0)</f>
        <v>0</v>
      </c>
      <c r="AB45" s="99">
        <v>0</v>
      </c>
      <c r="AC45" s="99">
        <f>G45*0.700909675640908</f>
        <v>0</v>
      </c>
      <c r="AD45" s="99">
        <f>G45*(1-0.700909675640908)</f>
        <v>0</v>
      </c>
      <c r="AE45" s="98">
        <v>0</v>
      </c>
      <c r="AK45" s="99">
        <f>F45*AC45</f>
        <v>0</v>
      </c>
      <c r="AL45" s="99">
        <f>F45*AD45</f>
        <v>0</v>
      </c>
      <c r="AM45" s="100" t="s">
        <v>833</v>
      </c>
      <c r="AN45" s="100" t="s">
        <v>757</v>
      </c>
      <c r="AO45" s="90" t="s">
        <v>758</v>
      </c>
      <c r="AQ45" s="99">
        <f>AK45+AL45</f>
        <v>0</v>
      </c>
      <c r="AR45" s="99">
        <f>G45/(100-AS45)*100</f>
        <v>0</v>
      </c>
      <c r="AS45" s="99">
        <v>0</v>
      </c>
      <c r="AT45" s="99">
        <f>L45</f>
        <v>3.9199999999999999E-2</v>
      </c>
    </row>
    <row r="46" spans="1:46">
      <c r="D46" s="101" t="s">
        <v>763</v>
      </c>
      <c r="E46" s="102"/>
      <c r="F46" s="103">
        <v>0</v>
      </c>
      <c r="G46" s="102"/>
    </row>
    <row r="47" spans="1:46" ht="25.5">
      <c r="A47" s="94" t="s">
        <v>841</v>
      </c>
      <c r="B47" s="94"/>
      <c r="C47" s="94" t="s">
        <v>842</v>
      </c>
      <c r="D47" s="95" t="s">
        <v>843</v>
      </c>
      <c r="E47" s="95" t="s">
        <v>62</v>
      </c>
      <c r="F47" s="96">
        <v>60</v>
      </c>
      <c r="G47" s="96"/>
      <c r="H47" s="97">
        <f>F47*AC47</f>
        <v>0</v>
      </c>
      <c r="I47" s="97">
        <f>J47-H47</f>
        <v>0</v>
      </c>
      <c r="J47" s="97">
        <f>F47*G47</f>
        <v>0</v>
      </c>
      <c r="K47" s="97">
        <v>6.9999999999999999E-4</v>
      </c>
      <c r="L47" s="97">
        <f>F47*K47</f>
        <v>4.2000000000000003E-2</v>
      </c>
      <c r="M47" s="98" t="s">
        <v>755</v>
      </c>
      <c r="N47" s="99">
        <f>IF(AE47="5",J47,0)</f>
        <v>0</v>
      </c>
      <c r="P47" s="99">
        <f>IF(AE47="1",H47,0)</f>
        <v>0</v>
      </c>
      <c r="Q47" s="99">
        <f>IF(AE47="1",I47,0)</f>
        <v>0</v>
      </c>
      <c r="R47" s="99">
        <f>IF(AE47="7",H47,0)</f>
        <v>0</v>
      </c>
      <c r="S47" s="99">
        <f>IF(AE47="7",I47,0)</f>
        <v>0</v>
      </c>
      <c r="T47" s="99">
        <f>IF(AE47="2",H47,0)</f>
        <v>0</v>
      </c>
      <c r="U47" s="99">
        <f>IF(AE47="2",I47,0)</f>
        <v>0</v>
      </c>
      <c r="V47" s="99">
        <f>IF(AE47="0",J47,0)</f>
        <v>0</v>
      </c>
      <c r="W47" s="90"/>
      <c r="X47" s="97">
        <f>IF(AB47=0,J47,0)</f>
        <v>0</v>
      </c>
      <c r="Y47" s="97">
        <f>IF(AB47=15,J47,0)</f>
        <v>0</v>
      </c>
      <c r="Z47" s="97">
        <f>IF(AB47=21,J47,0)</f>
        <v>0</v>
      </c>
      <c r="AB47" s="99">
        <v>0</v>
      </c>
      <c r="AC47" s="99">
        <f>G47*0.748984468339307</f>
        <v>0</v>
      </c>
      <c r="AD47" s="99">
        <f>G47*(1-0.748984468339307)</f>
        <v>0</v>
      </c>
      <c r="AE47" s="98">
        <v>0</v>
      </c>
      <c r="AK47" s="99">
        <f>F47*AC47</f>
        <v>0</v>
      </c>
      <c r="AL47" s="99">
        <f>F47*AD47</f>
        <v>0</v>
      </c>
      <c r="AM47" s="100" t="s">
        <v>833</v>
      </c>
      <c r="AN47" s="100" t="s">
        <v>757</v>
      </c>
      <c r="AO47" s="90" t="s">
        <v>758</v>
      </c>
      <c r="AQ47" s="99">
        <f>AK47+AL47</f>
        <v>0</v>
      </c>
      <c r="AR47" s="99">
        <f>G47/(100-AS47)*100</f>
        <v>0</v>
      </c>
      <c r="AS47" s="99">
        <v>0</v>
      </c>
      <c r="AT47" s="99">
        <f>L47</f>
        <v>4.2000000000000003E-2</v>
      </c>
    </row>
    <row r="48" spans="1:46">
      <c r="D48" s="101" t="s">
        <v>763</v>
      </c>
      <c r="E48" s="102"/>
      <c r="F48" s="103">
        <v>0</v>
      </c>
      <c r="G48" s="102"/>
    </row>
    <row r="49" spans="1:46" ht="25.5">
      <c r="A49" s="94" t="s">
        <v>844</v>
      </c>
      <c r="B49" s="94"/>
      <c r="C49" s="94" t="s">
        <v>845</v>
      </c>
      <c r="D49" s="95" t="s">
        <v>846</v>
      </c>
      <c r="E49" s="95" t="s">
        <v>62</v>
      </c>
      <c r="F49" s="96">
        <v>20</v>
      </c>
      <c r="G49" s="96"/>
      <c r="H49" s="97">
        <f>F49*AC49</f>
        <v>0</v>
      </c>
      <c r="I49" s="97">
        <f>J49-H49</f>
        <v>0</v>
      </c>
      <c r="J49" s="97">
        <f>F49*G49</f>
        <v>0</v>
      </c>
      <c r="K49" s="97">
        <v>7.7999999999999999E-4</v>
      </c>
      <c r="L49" s="97">
        <f>F49*K49</f>
        <v>1.5599999999999999E-2</v>
      </c>
      <c r="M49" s="98" t="s">
        <v>755</v>
      </c>
      <c r="N49" s="99">
        <f>IF(AE49="5",J49,0)</f>
        <v>0</v>
      </c>
      <c r="P49" s="99">
        <f>IF(AE49="1",H49,0)</f>
        <v>0</v>
      </c>
      <c r="Q49" s="99">
        <f>IF(AE49="1",I49,0)</f>
        <v>0</v>
      </c>
      <c r="R49" s="99">
        <f>IF(AE49="7",H49,0)</f>
        <v>0</v>
      </c>
      <c r="S49" s="99">
        <f>IF(AE49="7",I49,0)</f>
        <v>0</v>
      </c>
      <c r="T49" s="99">
        <f>IF(AE49="2",H49,0)</f>
        <v>0</v>
      </c>
      <c r="U49" s="99">
        <f>IF(AE49="2",I49,0)</f>
        <v>0</v>
      </c>
      <c r="V49" s="99">
        <f>IF(AE49="0",J49,0)</f>
        <v>0</v>
      </c>
      <c r="W49" s="90"/>
      <c r="X49" s="97">
        <f>IF(AB49=0,J49,0)</f>
        <v>0</v>
      </c>
      <c r="Y49" s="97">
        <f>IF(AB49=15,J49,0)</f>
        <v>0</v>
      </c>
      <c r="Z49" s="97">
        <f>IF(AB49=21,J49,0)</f>
        <v>0</v>
      </c>
      <c r="AB49" s="99">
        <v>0</v>
      </c>
      <c r="AC49" s="99">
        <f>G49*0.783354346211637</f>
        <v>0</v>
      </c>
      <c r="AD49" s="99">
        <f>G49*(1-0.783354346211637)</f>
        <v>0</v>
      </c>
      <c r="AE49" s="98">
        <v>0</v>
      </c>
      <c r="AK49" s="99">
        <f>F49*AC49</f>
        <v>0</v>
      </c>
      <c r="AL49" s="99">
        <f>F49*AD49</f>
        <v>0</v>
      </c>
      <c r="AM49" s="100" t="s">
        <v>833</v>
      </c>
      <c r="AN49" s="100" t="s">
        <v>757</v>
      </c>
      <c r="AO49" s="90" t="s">
        <v>758</v>
      </c>
      <c r="AQ49" s="99">
        <f>AK49+AL49</f>
        <v>0</v>
      </c>
      <c r="AR49" s="99">
        <f>G49/(100-AS49)*100</f>
        <v>0</v>
      </c>
      <c r="AS49" s="99">
        <v>0</v>
      </c>
      <c r="AT49" s="99">
        <f>L49</f>
        <v>1.5599999999999999E-2</v>
      </c>
    </row>
    <row r="50" spans="1:46">
      <c r="D50" s="101" t="s">
        <v>763</v>
      </c>
      <c r="E50" s="102"/>
      <c r="F50" s="103">
        <v>0</v>
      </c>
      <c r="G50" s="102"/>
    </row>
    <row r="51" spans="1:46" ht="25.5">
      <c r="A51" s="94" t="s">
        <v>847</v>
      </c>
      <c r="B51" s="94"/>
      <c r="C51" s="94" t="s">
        <v>848</v>
      </c>
      <c r="D51" s="95" t="s">
        <v>849</v>
      </c>
      <c r="E51" s="95" t="s">
        <v>62</v>
      </c>
      <c r="F51" s="96">
        <v>15</v>
      </c>
      <c r="G51" s="96"/>
      <c r="H51" s="97">
        <f>F51*AC51</f>
        <v>0</v>
      </c>
      <c r="I51" s="97">
        <f>J51-H51</f>
        <v>0</v>
      </c>
      <c r="J51" s="97">
        <f>F51*G51</f>
        <v>0</v>
      </c>
      <c r="K51" s="97">
        <v>0</v>
      </c>
      <c r="L51" s="97">
        <f>F51*K51</f>
        <v>0</v>
      </c>
      <c r="M51" s="98"/>
      <c r="N51" s="99">
        <f>IF(AE51="5",J51,0)</f>
        <v>0</v>
      </c>
      <c r="P51" s="99">
        <f>IF(AE51="1",H51,0)</f>
        <v>0</v>
      </c>
      <c r="Q51" s="99">
        <f>IF(AE51="1",I51,0)</f>
        <v>0</v>
      </c>
      <c r="R51" s="99">
        <f>IF(AE51="7",H51,0)</f>
        <v>0</v>
      </c>
      <c r="S51" s="99">
        <f>IF(AE51="7",I51,0)</f>
        <v>0</v>
      </c>
      <c r="T51" s="99">
        <f>IF(AE51="2",H51,0)</f>
        <v>0</v>
      </c>
      <c r="U51" s="99">
        <f>IF(AE51="2",I51,0)</f>
        <v>0</v>
      </c>
      <c r="V51" s="99">
        <f>IF(AE51="0",J51,0)</f>
        <v>0</v>
      </c>
      <c r="W51" s="90"/>
      <c r="X51" s="97">
        <f>IF(AB51=0,J51,0)</f>
        <v>0</v>
      </c>
      <c r="Y51" s="97">
        <f>IF(AB51=15,J51,0)</f>
        <v>0</v>
      </c>
      <c r="Z51" s="97">
        <f>IF(AB51=21,J51,0)</f>
        <v>0</v>
      </c>
      <c r="AB51" s="99">
        <v>0</v>
      </c>
      <c r="AC51" s="99">
        <f>G51*0.761904761904762</f>
        <v>0</v>
      </c>
      <c r="AD51" s="99">
        <f>G51*(1-0.761904761904762)</f>
        <v>0</v>
      </c>
      <c r="AE51" s="98">
        <v>0</v>
      </c>
      <c r="AK51" s="99">
        <f>F51*AC51</f>
        <v>0</v>
      </c>
      <c r="AL51" s="99">
        <f>F51*AD51</f>
        <v>0</v>
      </c>
      <c r="AM51" s="100" t="s">
        <v>833</v>
      </c>
      <c r="AN51" s="100" t="s">
        <v>757</v>
      </c>
      <c r="AO51" s="90" t="s">
        <v>758</v>
      </c>
      <c r="AQ51" s="99">
        <f>AK51+AL51</f>
        <v>0</v>
      </c>
      <c r="AR51" s="99">
        <f>G51/(100-AS51)*100</f>
        <v>0</v>
      </c>
      <c r="AS51" s="99">
        <v>0</v>
      </c>
      <c r="AT51" s="99">
        <f>L51</f>
        <v>0</v>
      </c>
    </row>
    <row r="52" spans="1:46">
      <c r="D52" s="101" t="s">
        <v>850</v>
      </c>
      <c r="E52" s="102"/>
      <c r="F52" s="103">
        <v>0</v>
      </c>
      <c r="G52" s="102"/>
    </row>
    <row r="53" spans="1:46" ht="38.25">
      <c r="A53" s="94" t="s">
        <v>851</v>
      </c>
      <c r="B53" s="94"/>
      <c r="C53" s="94" t="s">
        <v>852</v>
      </c>
      <c r="D53" s="95" t="s">
        <v>853</v>
      </c>
      <c r="E53" s="95" t="s">
        <v>62</v>
      </c>
      <c r="F53" s="96">
        <v>75</v>
      </c>
      <c r="G53" s="96"/>
      <c r="H53" s="97">
        <f>F53*AC53</f>
        <v>0</v>
      </c>
      <c r="I53" s="97">
        <f>J53-H53</f>
        <v>0</v>
      </c>
      <c r="J53" s="97">
        <f>F53*G53</f>
        <v>0</v>
      </c>
      <c r="K53" s="97">
        <v>5.0000000000000002E-5</v>
      </c>
      <c r="L53" s="97">
        <f>F53*K53</f>
        <v>3.7500000000000003E-3</v>
      </c>
      <c r="M53" s="98" t="s">
        <v>755</v>
      </c>
      <c r="N53" s="99">
        <f>IF(AE53="5",J53,0)</f>
        <v>0</v>
      </c>
      <c r="P53" s="99">
        <f>IF(AE53="1",H53,0)</f>
        <v>0</v>
      </c>
      <c r="Q53" s="99">
        <f>IF(AE53="1",I53,0)</f>
        <v>0</v>
      </c>
      <c r="R53" s="99">
        <f>IF(AE53="7",H53,0)</f>
        <v>0</v>
      </c>
      <c r="S53" s="99">
        <f>IF(AE53="7",I53,0)</f>
        <v>0</v>
      </c>
      <c r="T53" s="99">
        <f>IF(AE53="2",H53,0)</f>
        <v>0</v>
      </c>
      <c r="U53" s="99">
        <f>IF(AE53="2",I53,0)</f>
        <v>0</v>
      </c>
      <c r="V53" s="99">
        <f>IF(AE53="0",J53,0)</f>
        <v>0</v>
      </c>
      <c r="W53" s="90"/>
      <c r="X53" s="97">
        <f>IF(AB53=0,J53,0)</f>
        <v>0</v>
      </c>
      <c r="Y53" s="97">
        <f>IF(AB53=15,J53,0)</f>
        <v>0</v>
      </c>
      <c r="Z53" s="97">
        <f>IF(AB53=21,J53,0)</f>
        <v>0</v>
      </c>
      <c r="AB53" s="99">
        <v>0</v>
      </c>
      <c r="AC53" s="99">
        <f>G53*0.545081457530158</f>
        <v>0</v>
      </c>
      <c r="AD53" s="99">
        <f>G53*(1-0.545081457530158)</f>
        <v>0</v>
      </c>
      <c r="AE53" s="98">
        <v>0</v>
      </c>
      <c r="AK53" s="99">
        <f>F53*AC53</f>
        <v>0</v>
      </c>
      <c r="AL53" s="99">
        <f>F53*AD53</f>
        <v>0</v>
      </c>
      <c r="AM53" s="100" t="s">
        <v>833</v>
      </c>
      <c r="AN53" s="100" t="s">
        <v>757</v>
      </c>
      <c r="AO53" s="90" t="s">
        <v>758</v>
      </c>
      <c r="AQ53" s="99">
        <f>AK53+AL53</f>
        <v>0</v>
      </c>
      <c r="AR53" s="99">
        <f>G53/(100-AS53)*100</f>
        <v>0</v>
      </c>
      <c r="AS53" s="99">
        <v>0</v>
      </c>
      <c r="AT53" s="99">
        <f>L53</f>
        <v>3.7500000000000003E-3</v>
      </c>
    </row>
    <row r="54" spans="1:46">
      <c r="D54" s="101" t="s">
        <v>854</v>
      </c>
      <c r="E54" s="102"/>
      <c r="F54" s="103">
        <v>0</v>
      </c>
      <c r="G54" s="102"/>
    </row>
    <row r="55" spans="1:46" ht="38.25">
      <c r="A55" s="94" t="s">
        <v>855</v>
      </c>
      <c r="B55" s="94"/>
      <c r="C55" s="94" t="s">
        <v>856</v>
      </c>
      <c r="D55" s="95" t="s">
        <v>857</v>
      </c>
      <c r="E55" s="95" t="s">
        <v>62</v>
      </c>
      <c r="F55" s="96">
        <v>50</v>
      </c>
      <c r="G55" s="96"/>
      <c r="H55" s="97">
        <f>F55*AC55</f>
        <v>0</v>
      </c>
      <c r="I55" s="97">
        <f>J55-H55</f>
        <v>0</v>
      </c>
      <c r="J55" s="97">
        <f>F55*G55</f>
        <v>0</v>
      </c>
      <c r="K55" s="97">
        <v>6.9999999999999994E-5</v>
      </c>
      <c r="L55" s="97">
        <f>F55*K55</f>
        <v>3.4999999999999996E-3</v>
      </c>
      <c r="M55" s="98" t="s">
        <v>755</v>
      </c>
      <c r="N55" s="99">
        <f>IF(AE55="5",J55,0)</f>
        <v>0</v>
      </c>
      <c r="P55" s="99">
        <f>IF(AE55="1",H55,0)</f>
        <v>0</v>
      </c>
      <c r="Q55" s="99">
        <f>IF(AE55="1",I55,0)</f>
        <v>0</v>
      </c>
      <c r="R55" s="99">
        <f>IF(AE55="7",H55,0)</f>
        <v>0</v>
      </c>
      <c r="S55" s="99">
        <f>IF(AE55="7",I55,0)</f>
        <v>0</v>
      </c>
      <c r="T55" s="99">
        <f>IF(AE55="2",H55,0)</f>
        <v>0</v>
      </c>
      <c r="U55" s="99">
        <f>IF(AE55="2",I55,0)</f>
        <v>0</v>
      </c>
      <c r="V55" s="99">
        <f>IF(AE55="0",J55,0)</f>
        <v>0</v>
      </c>
      <c r="W55" s="90"/>
      <c r="X55" s="97">
        <f>IF(AB55=0,J55,0)</f>
        <v>0</v>
      </c>
      <c r="Y55" s="97">
        <f>IF(AB55=15,J55,0)</f>
        <v>0</v>
      </c>
      <c r="Z55" s="97">
        <f>IF(AB55=21,J55,0)</f>
        <v>0</v>
      </c>
      <c r="AB55" s="99">
        <v>0</v>
      </c>
      <c r="AC55" s="99">
        <f>G55*0.575687275258091</f>
        <v>0</v>
      </c>
      <c r="AD55" s="99">
        <f>G55*(1-0.575687275258091)</f>
        <v>0</v>
      </c>
      <c r="AE55" s="98">
        <v>0</v>
      </c>
      <c r="AK55" s="99">
        <f>F55*AC55</f>
        <v>0</v>
      </c>
      <c r="AL55" s="99">
        <f>F55*AD55</f>
        <v>0</v>
      </c>
      <c r="AM55" s="100" t="s">
        <v>833</v>
      </c>
      <c r="AN55" s="100" t="s">
        <v>757</v>
      </c>
      <c r="AO55" s="90" t="s">
        <v>758</v>
      </c>
      <c r="AQ55" s="99">
        <f>AK55+AL55</f>
        <v>0</v>
      </c>
      <c r="AR55" s="99">
        <f>G55/(100-AS55)*100</f>
        <v>0</v>
      </c>
      <c r="AS55" s="99">
        <v>0</v>
      </c>
      <c r="AT55" s="99">
        <f>L55</f>
        <v>3.4999999999999996E-3</v>
      </c>
    </row>
    <row r="56" spans="1:46">
      <c r="D56" s="101" t="s">
        <v>854</v>
      </c>
      <c r="E56" s="102"/>
      <c r="F56" s="103">
        <v>0</v>
      </c>
      <c r="G56" s="102"/>
    </row>
    <row r="57" spans="1:46" ht="38.25">
      <c r="A57" s="94" t="s">
        <v>858</v>
      </c>
      <c r="B57" s="94"/>
      <c r="C57" s="94" t="s">
        <v>859</v>
      </c>
      <c r="D57" s="95" t="s">
        <v>860</v>
      </c>
      <c r="E57" s="95" t="s">
        <v>62</v>
      </c>
      <c r="F57" s="96">
        <v>15</v>
      </c>
      <c r="G57" s="96"/>
      <c r="H57" s="97">
        <f t="shared" ref="H57:H87" si="20">F57*AC57</f>
        <v>0</v>
      </c>
      <c r="I57" s="97">
        <f t="shared" ref="I57:I87" si="21">J57-H57</f>
        <v>0</v>
      </c>
      <c r="J57" s="97">
        <f t="shared" ref="J57:J87" si="22">F57*G57</f>
        <v>0</v>
      </c>
      <c r="K57" s="97">
        <v>1.2999999999999999E-3</v>
      </c>
      <c r="L57" s="97">
        <f t="shared" ref="L57:L87" si="23">F57*K57</f>
        <v>1.95E-2</v>
      </c>
      <c r="M57" s="98"/>
      <c r="N57" s="99">
        <f t="shared" ref="N57:N87" si="24">IF(AE57="5",J57,0)</f>
        <v>0</v>
      </c>
      <c r="P57" s="99">
        <f t="shared" ref="P57:P87" si="25">IF(AE57="1",H57,0)</f>
        <v>0</v>
      </c>
      <c r="Q57" s="99">
        <f t="shared" ref="Q57:Q87" si="26">IF(AE57="1",I57,0)</f>
        <v>0</v>
      </c>
      <c r="R57" s="99">
        <f t="shared" ref="R57:R87" si="27">IF(AE57="7",H57,0)</f>
        <v>0</v>
      </c>
      <c r="S57" s="99">
        <f t="shared" ref="S57:S87" si="28">IF(AE57="7",I57,0)</f>
        <v>0</v>
      </c>
      <c r="T57" s="99">
        <f t="shared" ref="T57:T87" si="29">IF(AE57="2",H57,0)</f>
        <v>0</v>
      </c>
      <c r="U57" s="99">
        <f t="shared" ref="U57:U87" si="30">IF(AE57="2",I57,0)</f>
        <v>0</v>
      </c>
      <c r="V57" s="99">
        <f t="shared" ref="V57:V87" si="31">IF(AE57="0",J57,0)</f>
        <v>0</v>
      </c>
      <c r="W57" s="90"/>
      <c r="X57" s="97">
        <f t="shared" ref="X57:X87" si="32">IF(AB57=0,J57,0)</f>
        <v>0</v>
      </c>
      <c r="Y57" s="97">
        <f t="shared" ref="Y57:Y87" si="33">IF(AB57=15,J57,0)</f>
        <v>0</v>
      </c>
      <c r="Z57" s="97">
        <f t="shared" ref="Z57:Z87" si="34">IF(AB57=21,J57,0)</f>
        <v>0</v>
      </c>
      <c r="AB57" s="99">
        <v>0</v>
      </c>
      <c r="AC57" s="99">
        <f>G57*0.5</f>
        <v>0</v>
      </c>
      <c r="AD57" s="99">
        <f>G57*(1-0.5)</f>
        <v>0</v>
      </c>
      <c r="AE57" s="98">
        <v>0</v>
      </c>
      <c r="AK57" s="99">
        <f t="shared" ref="AK57:AK87" si="35">F57*AC57</f>
        <v>0</v>
      </c>
      <c r="AL57" s="99">
        <f t="shared" ref="AL57:AL87" si="36">F57*AD57</f>
        <v>0</v>
      </c>
      <c r="AM57" s="100" t="s">
        <v>833</v>
      </c>
      <c r="AN57" s="100" t="s">
        <v>757</v>
      </c>
      <c r="AO57" s="90" t="s">
        <v>758</v>
      </c>
      <c r="AQ57" s="99">
        <f t="shared" ref="AQ57:AQ87" si="37">AK57+AL57</f>
        <v>0</v>
      </c>
      <c r="AR57" s="99">
        <f t="shared" ref="AR57:AR87" si="38">G57/(100-AS57)*100</f>
        <v>0</v>
      </c>
      <c r="AS57" s="99">
        <v>0</v>
      </c>
      <c r="AT57" s="99">
        <f t="shared" ref="AT57:AT87" si="39">L57</f>
        <v>1.95E-2</v>
      </c>
    </row>
    <row r="58" spans="1:46" ht="38.25">
      <c r="A58" s="94" t="s">
        <v>861</v>
      </c>
      <c r="B58" s="94"/>
      <c r="C58" s="94" t="s">
        <v>862</v>
      </c>
      <c r="D58" s="95" t="s">
        <v>863</v>
      </c>
      <c r="E58" s="95" t="s">
        <v>62</v>
      </c>
      <c r="F58" s="96">
        <v>20</v>
      </c>
      <c r="G58" s="96"/>
      <c r="H58" s="97">
        <f t="shared" si="20"/>
        <v>0</v>
      </c>
      <c r="I58" s="97">
        <f t="shared" si="21"/>
        <v>0</v>
      </c>
      <c r="J58" s="97">
        <f t="shared" si="22"/>
        <v>0</v>
      </c>
      <c r="K58" s="97">
        <v>1.2999999999999999E-3</v>
      </c>
      <c r="L58" s="97">
        <f t="shared" si="23"/>
        <v>2.5999999999999999E-2</v>
      </c>
      <c r="M58" s="98"/>
      <c r="N58" s="99">
        <f t="shared" si="24"/>
        <v>0</v>
      </c>
      <c r="P58" s="99">
        <f t="shared" si="25"/>
        <v>0</v>
      </c>
      <c r="Q58" s="99">
        <f t="shared" si="26"/>
        <v>0</v>
      </c>
      <c r="R58" s="99">
        <f t="shared" si="27"/>
        <v>0</v>
      </c>
      <c r="S58" s="99">
        <f t="shared" si="28"/>
        <v>0</v>
      </c>
      <c r="T58" s="99">
        <f t="shared" si="29"/>
        <v>0</v>
      </c>
      <c r="U58" s="99">
        <f t="shared" si="30"/>
        <v>0</v>
      </c>
      <c r="V58" s="99">
        <f t="shared" si="31"/>
        <v>0</v>
      </c>
      <c r="W58" s="90"/>
      <c r="X58" s="97">
        <f t="shared" si="32"/>
        <v>0</v>
      </c>
      <c r="Y58" s="97">
        <f t="shared" si="33"/>
        <v>0</v>
      </c>
      <c r="Z58" s="97">
        <f t="shared" si="34"/>
        <v>0</v>
      </c>
      <c r="AB58" s="99">
        <v>0</v>
      </c>
      <c r="AC58" s="99">
        <f>G58*0.5</f>
        <v>0</v>
      </c>
      <c r="AD58" s="99">
        <f>G58*(1-0.5)</f>
        <v>0</v>
      </c>
      <c r="AE58" s="98">
        <v>0</v>
      </c>
      <c r="AK58" s="99">
        <f t="shared" si="35"/>
        <v>0</v>
      </c>
      <c r="AL58" s="99">
        <f t="shared" si="36"/>
        <v>0</v>
      </c>
      <c r="AM58" s="100" t="s">
        <v>833</v>
      </c>
      <c r="AN58" s="100" t="s">
        <v>757</v>
      </c>
      <c r="AO58" s="90" t="s">
        <v>758</v>
      </c>
      <c r="AQ58" s="99">
        <f t="shared" si="37"/>
        <v>0</v>
      </c>
      <c r="AR58" s="99">
        <f t="shared" si="38"/>
        <v>0</v>
      </c>
      <c r="AS58" s="99">
        <v>0</v>
      </c>
      <c r="AT58" s="99">
        <f t="shared" si="39"/>
        <v>2.5999999999999999E-2</v>
      </c>
    </row>
    <row r="59" spans="1:46">
      <c r="A59" s="94" t="s">
        <v>864</v>
      </c>
      <c r="B59" s="94"/>
      <c r="C59" s="94" t="s">
        <v>865</v>
      </c>
      <c r="D59" s="95" t="s">
        <v>866</v>
      </c>
      <c r="E59" s="95" t="s">
        <v>52</v>
      </c>
      <c r="F59" s="96">
        <v>44</v>
      </c>
      <c r="G59" s="96"/>
      <c r="H59" s="97">
        <f t="shared" si="20"/>
        <v>0</v>
      </c>
      <c r="I59" s="97">
        <f t="shared" si="21"/>
        <v>0</v>
      </c>
      <c r="J59" s="97">
        <f t="shared" si="22"/>
        <v>0</v>
      </c>
      <c r="K59" s="97">
        <v>0</v>
      </c>
      <c r="L59" s="97">
        <f t="shared" si="23"/>
        <v>0</v>
      </c>
      <c r="M59" s="98" t="s">
        <v>755</v>
      </c>
      <c r="N59" s="99">
        <f t="shared" si="24"/>
        <v>0</v>
      </c>
      <c r="P59" s="99">
        <f t="shared" si="25"/>
        <v>0</v>
      </c>
      <c r="Q59" s="99">
        <f t="shared" si="26"/>
        <v>0</v>
      </c>
      <c r="R59" s="99">
        <f t="shared" si="27"/>
        <v>0</v>
      </c>
      <c r="S59" s="99">
        <f t="shared" si="28"/>
        <v>0</v>
      </c>
      <c r="T59" s="99">
        <f t="shared" si="29"/>
        <v>0</v>
      </c>
      <c r="U59" s="99">
        <f t="shared" si="30"/>
        <v>0</v>
      </c>
      <c r="V59" s="99">
        <f t="shared" si="31"/>
        <v>0</v>
      </c>
      <c r="W59" s="90"/>
      <c r="X59" s="97">
        <f t="shared" si="32"/>
        <v>0</v>
      </c>
      <c r="Y59" s="97">
        <f t="shared" si="33"/>
        <v>0</v>
      </c>
      <c r="Z59" s="97">
        <f t="shared" si="34"/>
        <v>0</v>
      </c>
      <c r="AB59" s="99">
        <v>0</v>
      </c>
      <c r="AC59" s="99">
        <f>G59*0</f>
        <v>0</v>
      </c>
      <c r="AD59" s="99">
        <f>G59*(1-0)</f>
        <v>0</v>
      </c>
      <c r="AE59" s="98">
        <v>0</v>
      </c>
      <c r="AK59" s="99">
        <f t="shared" si="35"/>
        <v>0</v>
      </c>
      <c r="AL59" s="99">
        <f t="shared" si="36"/>
        <v>0</v>
      </c>
      <c r="AM59" s="100" t="s">
        <v>833</v>
      </c>
      <c r="AN59" s="100" t="s">
        <v>757</v>
      </c>
      <c r="AO59" s="90" t="s">
        <v>758</v>
      </c>
      <c r="AQ59" s="99">
        <f t="shared" si="37"/>
        <v>0</v>
      </c>
      <c r="AR59" s="99">
        <f t="shared" si="38"/>
        <v>0</v>
      </c>
      <c r="AS59" s="99">
        <v>0</v>
      </c>
      <c r="AT59" s="99">
        <f t="shared" si="39"/>
        <v>0</v>
      </c>
    </row>
    <row r="60" spans="1:46">
      <c r="A60" s="94" t="s">
        <v>867</v>
      </c>
      <c r="B60" s="94"/>
      <c r="C60" s="94" t="s">
        <v>868</v>
      </c>
      <c r="D60" s="95" t="s">
        <v>869</v>
      </c>
      <c r="E60" s="95" t="s">
        <v>52</v>
      </c>
      <c r="F60" s="96">
        <v>2</v>
      </c>
      <c r="G60" s="96"/>
      <c r="H60" s="97">
        <f t="shared" si="20"/>
        <v>0</v>
      </c>
      <c r="I60" s="97">
        <f t="shared" si="21"/>
        <v>0</v>
      </c>
      <c r="J60" s="97">
        <f t="shared" si="22"/>
        <v>0</v>
      </c>
      <c r="K60" s="97">
        <v>1E-3</v>
      </c>
      <c r="L60" s="97">
        <f t="shared" si="23"/>
        <v>2E-3</v>
      </c>
      <c r="M60" s="98"/>
      <c r="N60" s="99">
        <f t="shared" si="24"/>
        <v>0</v>
      </c>
      <c r="P60" s="99">
        <f t="shared" si="25"/>
        <v>0</v>
      </c>
      <c r="Q60" s="99">
        <f t="shared" si="26"/>
        <v>0</v>
      </c>
      <c r="R60" s="99">
        <f t="shared" si="27"/>
        <v>0</v>
      </c>
      <c r="S60" s="99">
        <f t="shared" si="28"/>
        <v>0</v>
      </c>
      <c r="T60" s="99">
        <f t="shared" si="29"/>
        <v>0</v>
      </c>
      <c r="U60" s="99">
        <f t="shared" si="30"/>
        <v>0</v>
      </c>
      <c r="V60" s="99">
        <f t="shared" si="31"/>
        <v>0</v>
      </c>
      <c r="W60" s="90"/>
      <c r="X60" s="97">
        <f t="shared" si="32"/>
        <v>0</v>
      </c>
      <c r="Y60" s="97">
        <f t="shared" si="33"/>
        <v>0</v>
      </c>
      <c r="Z60" s="97">
        <f t="shared" si="34"/>
        <v>0</v>
      </c>
      <c r="AB60" s="99">
        <v>0</v>
      </c>
      <c r="AC60" s="99">
        <f>G60*1</f>
        <v>0</v>
      </c>
      <c r="AD60" s="99">
        <f>G60*(1-1)</f>
        <v>0</v>
      </c>
      <c r="AE60" s="98">
        <v>0</v>
      </c>
      <c r="AK60" s="99">
        <f t="shared" si="35"/>
        <v>0</v>
      </c>
      <c r="AL60" s="99">
        <f t="shared" si="36"/>
        <v>0</v>
      </c>
      <c r="AM60" s="100" t="s">
        <v>833</v>
      </c>
      <c r="AN60" s="100" t="s">
        <v>757</v>
      </c>
      <c r="AO60" s="90" t="s">
        <v>758</v>
      </c>
      <c r="AQ60" s="99">
        <f t="shared" si="37"/>
        <v>0</v>
      </c>
      <c r="AR60" s="99">
        <f t="shared" si="38"/>
        <v>0</v>
      </c>
      <c r="AS60" s="99">
        <v>0</v>
      </c>
      <c r="AT60" s="99">
        <f t="shared" si="39"/>
        <v>2E-3</v>
      </c>
    </row>
    <row r="61" spans="1:46">
      <c r="A61" s="94" t="s">
        <v>870</v>
      </c>
      <c r="B61" s="94"/>
      <c r="C61" s="94" t="s">
        <v>871</v>
      </c>
      <c r="D61" s="95" t="s">
        <v>872</v>
      </c>
      <c r="E61" s="95" t="s">
        <v>52</v>
      </c>
      <c r="F61" s="96">
        <v>2</v>
      </c>
      <c r="G61" s="96"/>
      <c r="H61" s="97">
        <f t="shared" si="20"/>
        <v>0</v>
      </c>
      <c r="I61" s="97">
        <f t="shared" si="21"/>
        <v>0</v>
      </c>
      <c r="J61" s="97">
        <f t="shared" si="22"/>
        <v>0</v>
      </c>
      <c r="K61" s="97">
        <v>1.8E-3</v>
      </c>
      <c r="L61" s="97">
        <f t="shared" si="23"/>
        <v>3.5999999999999999E-3</v>
      </c>
      <c r="M61" s="98" t="s">
        <v>755</v>
      </c>
      <c r="N61" s="99">
        <f t="shared" si="24"/>
        <v>0</v>
      </c>
      <c r="P61" s="99">
        <f t="shared" si="25"/>
        <v>0</v>
      </c>
      <c r="Q61" s="99">
        <f t="shared" si="26"/>
        <v>0</v>
      </c>
      <c r="R61" s="99">
        <f t="shared" si="27"/>
        <v>0</v>
      </c>
      <c r="S61" s="99">
        <f t="shared" si="28"/>
        <v>0</v>
      </c>
      <c r="T61" s="99">
        <f t="shared" si="29"/>
        <v>0</v>
      </c>
      <c r="U61" s="99">
        <f t="shared" si="30"/>
        <v>0</v>
      </c>
      <c r="V61" s="99">
        <f t="shared" si="31"/>
        <v>0</v>
      </c>
      <c r="W61" s="90"/>
      <c r="X61" s="97">
        <f t="shared" si="32"/>
        <v>0</v>
      </c>
      <c r="Y61" s="97">
        <f t="shared" si="33"/>
        <v>0</v>
      </c>
      <c r="Z61" s="97">
        <f t="shared" si="34"/>
        <v>0</v>
      </c>
      <c r="AB61" s="99">
        <v>0</v>
      </c>
      <c r="AC61" s="99">
        <f>G61*0.722598315332541</f>
        <v>0</v>
      </c>
      <c r="AD61" s="99">
        <f>G61*(1-0.722598315332541)</f>
        <v>0</v>
      </c>
      <c r="AE61" s="98">
        <v>0</v>
      </c>
      <c r="AK61" s="99">
        <f t="shared" si="35"/>
        <v>0</v>
      </c>
      <c r="AL61" s="99">
        <f t="shared" si="36"/>
        <v>0</v>
      </c>
      <c r="AM61" s="100" t="s">
        <v>833</v>
      </c>
      <c r="AN61" s="100" t="s">
        <v>757</v>
      </c>
      <c r="AO61" s="90" t="s">
        <v>758</v>
      </c>
      <c r="AQ61" s="99">
        <f t="shared" si="37"/>
        <v>0</v>
      </c>
      <c r="AR61" s="99">
        <f t="shared" si="38"/>
        <v>0</v>
      </c>
      <c r="AS61" s="99">
        <v>0</v>
      </c>
      <c r="AT61" s="99">
        <f t="shared" si="39"/>
        <v>3.5999999999999999E-3</v>
      </c>
    </row>
    <row r="62" spans="1:46">
      <c r="A62" s="94" t="s">
        <v>873</v>
      </c>
      <c r="B62" s="94"/>
      <c r="C62" s="94" t="s">
        <v>874</v>
      </c>
      <c r="D62" s="95" t="s">
        <v>875</v>
      </c>
      <c r="E62" s="95" t="s">
        <v>52</v>
      </c>
      <c r="F62" s="96">
        <v>6</v>
      </c>
      <c r="G62" s="96"/>
      <c r="H62" s="97">
        <f t="shared" si="20"/>
        <v>0</v>
      </c>
      <c r="I62" s="97">
        <f t="shared" si="21"/>
        <v>0</v>
      </c>
      <c r="J62" s="97">
        <f t="shared" si="22"/>
        <v>0</v>
      </c>
      <c r="K62" s="97">
        <v>4.0000000000000002E-4</v>
      </c>
      <c r="L62" s="97">
        <f t="shared" si="23"/>
        <v>2.4000000000000002E-3</v>
      </c>
      <c r="M62" s="98" t="s">
        <v>755</v>
      </c>
      <c r="N62" s="99">
        <f t="shared" si="24"/>
        <v>0</v>
      </c>
      <c r="P62" s="99">
        <f t="shared" si="25"/>
        <v>0</v>
      </c>
      <c r="Q62" s="99">
        <f t="shared" si="26"/>
        <v>0</v>
      </c>
      <c r="R62" s="99">
        <f t="shared" si="27"/>
        <v>0</v>
      </c>
      <c r="S62" s="99">
        <f t="shared" si="28"/>
        <v>0</v>
      </c>
      <c r="T62" s="99">
        <f t="shared" si="29"/>
        <v>0</v>
      </c>
      <c r="U62" s="99">
        <f t="shared" si="30"/>
        <v>0</v>
      </c>
      <c r="V62" s="99">
        <f t="shared" si="31"/>
        <v>0</v>
      </c>
      <c r="W62" s="90"/>
      <c r="X62" s="97">
        <f t="shared" si="32"/>
        <v>0</v>
      </c>
      <c r="Y62" s="97">
        <f t="shared" si="33"/>
        <v>0</v>
      </c>
      <c r="Z62" s="97">
        <f t="shared" si="34"/>
        <v>0</v>
      </c>
      <c r="AB62" s="99">
        <v>0</v>
      </c>
      <c r="AC62" s="99">
        <f>G62*0.77705298013245</f>
        <v>0</v>
      </c>
      <c r="AD62" s="99">
        <f>G62*(1-0.77705298013245)</f>
        <v>0</v>
      </c>
      <c r="AE62" s="98">
        <v>0</v>
      </c>
      <c r="AK62" s="99">
        <f t="shared" si="35"/>
        <v>0</v>
      </c>
      <c r="AL62" s="99">
        <f t="shared" si="36"/>
        <v>0</v>
      </c>
      <c r="AM62" s="100" t="s">
        <v>833</v>
      </c>
      <c r="AN62" s="100" t="s">
        <v>757</v>
      </c>
      <c r="AO62" s="90" t="s">
        <v>758</v>
      </c>
      <c r="AQ62" s="99">
        <f t="shared" si="37"/>
        <v>0</v>
      </c>
      <c r="AR62" s="99">
        <f t="shared" si="38"/>
        <v>0</v>
      </c>
      <c r="AS62" s="99">
        <v>0</v>
      </c>
      <c r="AT62" s="99">
        <f t="shared" si="39"/>
        <v>2.4000000000000002E-3</v>
      </c>
    </row>
    <row r="63" spans="1:46">
      <c r="A63" s="94" t="s">
        <v>876</v>
      </c>
      <c r="B63" s="94"/>
      <c r="C63" s="94" t="s">
        <v>877</v>
      </c>
      <c r="D63" s="95" t="s">
        <v>878</v>
      </c>
      <c r="E63" s="95" t="s">
        <v>52</v>
      </c>
      <c r="F63" s="96">
        <v>3</v>
      </c>
      <c r="G63" s="96"/>
      <c r="H63" s="97">
        <f t="shared" si="20"/>
        <v>0</v>
      </c>
      <c r="I63" s="97">
        <f t="shared" si="21"/>
        <v>0</v>
      </c>
      <c r="J63" s="97">
        <f t="shared" si="22"/>
        <v>0</v>
      </c>
      <c r="K63" s="97">
        <v>4.8000000000000001E-4</v>
      </c>
      <c r="L63" s="97">
        <f t="shared" si="23"/>
        <v>1.4400000000000001E-3</v>
      </c>
      <c r="M63" s="98" t="s">
        <v>755</v>
      </c>
      <c r="N63" s="99">
        <f t="shared" si="24"/>
        <v>0</v>
      </c>
      <c r="P63" s="99">
        <f t="shared" si="25"/>
        <v>0</v>
      </c>
      <c r="Q63" s="99">
        <f t="shared" si="26"/>
        <v>0</v>
      </c>
      <c r="R63" s="99">
        <f t="shared" si="27"/>
        <v>0</v>
      </c>
      <c r="S63" s="99">
        <f t="shared" si="28"/>
        <v>0</v>
      </c>
      <c r="T63" s="99">
        <f t="shared" si="29"/>
        <v>0</v>
      </c>
      <c r="U63" s="99">
        <f t="shared" si="30"/>
        <v>0</v>
      </c>
      <c r="V63" s="99">
        <f t="shared" si="31"/>
        <v>0</v>
      </c>
      <c r="W63" s="90"/>
      <c r="X63" s="97">
        <f t="shared" si="32"/>
        <v>0</v>
      </c>
      <c r="Y63" s="97">
        <f t="shared" si="33"/>
        <v>0</v>
      </c>
      <c r="Z63" s="97">
        <f t="shared" si="34"/>
        <v>0</v>
      </c>
      <c r="AB63" s="99">
        <v>0</v>
      </c>
      <c r="AC63" s="99">
        <f>G63*0.809450078707646</f>
        <v>0</v>
      </c>
      <c r="AD63" s="99">
        <f>G63*(1-0.809450078707646)</f>
        <v>0</v>
      </c>
      <c r="AE63" s="98">
        <v>0</v>
      </c>
      <c r="AK63" s="99">
        <f t="shared" si="35"/>
        <v>0</v>
      </c>
      <c r="AL63" s="99">
        <f t="shared" si="36"/>
        <v>0</v>
      </c>
      <c r="AM63" s="100" t="s">
        <v>833</v>
      </c>
      <c r="AN63" s="100" t="s">
        <v>757</v>
      </c>
      <c r="AO63" s="90" t="s">
        <v>758</v>
      </c>
      <c r="AQ63" s="99">
        <f t="shared" si="37"/>
        <v>0</v>
      </c>
      <c r="AR63" s="99">
        <f t="shared" si="38"/>
        <v>0</v>
      </c>
      <c r="AS63" s="99">
        <v>0</v>
      </c>
      <c r="AT63" s="99">
        <f t="shared" si="39"/>
        <v>1.4400000000000001E-3</v>
      </c>
    </row>
    <row r="64" spans="1:46">
      <c r="A64" s="94" t="s">
        <v>879</v>
      </c>
      <c r="B64" s="94"/>
      <c r="C64" s="94" t="s">
        <v>880</v>
      </c>
      <c r="D64" s="95" t="s">
        <v>881</v>
      </c>
      <c r="E64" s="95" t="s">
        <v>52</v>
      </c>
      <c r="F64" s="96">
        <v>2</v>
      </c>
      <c r="G64" s="96"/>
      <c r="H64" s="97">
        <f t="shared" si="20"/>
        <v>0</v>
      </c>
      <c r="I64" s="97">
        <f t="shared" si="21"/>
        <v>0</v>
      </c>
      <c r="J64" s="97">
        <f t="shared" si="22"/>
        <v>0</v>
      </c>
      <c r="K64" s="97">
        <v>5.6999999999999998E-4</v>
      </c>
      <c r="L64" s="97">
        <f t="shared" si="23"/>
        <v>1.14E-3</v>
      </c>
      <c r="M64" s="98" t="s">
        <v>882</v>
      </c>
      <c r="N64" s="99">
        <f t="shared" si="24"/>
        <v>0</v>
      </c>
      <c r="P64" s="99">
        <f t="shared" si="25"/>
        <v>0</v>
      </c>
      <c r="Q64" s="99">
        <f t="shared" si="26"/>
        <v>0</v>
      </c>
      <c r="R64" s="99">
        <f t="shared" si="27"/>
        <v>0</v>
      </c>
      <c r="S64" s="99">
        <f t="shared" si="28"/>
        <v>0</v>
      </c>
      <c r="T64" s="99">
        <f t="shared" si="29"/>
        <v>0</v>
      </c>
      <c r="U64" s="99">
        <f t="shared" si="30"/>
        <v>0</v>
      </c>
      <c r="V64" s="99">
        <f t="shared" si="31"/>
        <v>0</v>
      </c>
      <c r="W64" s="90"/>
      <c r="X64" s="97">
        <f t="shared" si="32"/>
        <v>0</v>
      </c>
      <c r="Y64" s="97">
        <f t="shared" si="33"/>
        <v>0</v>
      </c>
      <c r="Z64" s="97">
        <f t="shared" si="34"/>
        <v>0</v>
      </c>
      <c r="AB64" s="99">
        <v>0</v>
      </c>
      <c r="AC64" s="99">
        <f>G64*0.83140206185567</f>
        <v>0</v>
      </c>
      <c r="AD64" s="99">
        <f>G64*(1-0.83140206185567)</f>
        <v>0</v>
      </c>
      <c r="AE64" s="98">
        <v>0</v>
      </c>
      <c r="AK64" s="99">
        <f t="shared" si="35"/>
        <v>0</v>
      </c>
      <c r="AL64" s="99">
        <f t="shared" si="36"/>
        <v>0</v>
      </c>
      <c r="AM64" s="100" t="s">
        <v>833</v>
      </c>
      <c r="AN64" s="100" t="s">
        <v>757</v>
      </c>
      <c r="AO64" s="90" t="s">
        <v>758</v>
      </c>
      <c r="AQ64" s="99">
        <f t="shared" si="37"/>
        <v>0</v>
      </c>
      <c r="AR64" s="99">
        <f t="shared" si="38"/>
        <v>0</v>
      </c>
      <c r="AS64" s="99">
        <v>0</v>
      </c>
      <c r="AT64" s="99">
        <f t="shared" si="39"/>
        <v>1.14E-3</v>
      </c>
    </row>
    <row r="65" spans="1:46" ht="25.5">
      <c r="A65" s="94" t="s">
        <v>883</v>
      </c>
      <c r="B65" s="94"/>
      <c r="C65" s="94" t="s">
        <v>884</v>
      </c>
      <c r="D65" s="95" t="s">
        <v>885</v>
      </c>
      <c r="E65" s="95" t="s">
        <v>792</v>
      </c>
      <c r="F65" s="96">
        <v>1</v>
      </c>
      <c r="G65" s="96"/>
      <c r="H65" s="97">
        <f t="shared" si="20"/>
        <v>0</v>
      </c>
      <c r="I65" s="97">
        <f t="shared" si="21"/>
        <v>0</v>
      </c>
      <c r="J65" s="97">
        <f t="shared" si="22"/>
        <v>0</v>
      </c>
      <c r="K65" s="97">
        <v>0</v>
      </c>
      <c r="L65" s="97">
        <f t="shared" si="23"/>
        <v>0</v>
      </c>
      <c r="M65" s="98"/>
      <c r="N65" s="99">
        <f t="shared" si="24"/>
        <v>0</v>
      </c>
      <c r="P65" s="99">
        <f t="shared" si="25"/>
        <v>0</v>
      </c>
      <c r="Q65" s="99">
        <f t="shared" si="26"/>
        <v>0</v>
      </c>
      <c r="R65" s="99">
        <f t="shared" si="27"/>
        <v>0</v>
      </c>
      <c r="S65" s="99">
        <f t="shared" si="28"/>
        <v>0</v>
      </c>
      <c r="T65" s="99">
        <f t="shared" si="29"/>
        <v>0</v>
      </c>
      <c r="U65" s="99">
        <f t="shared" si="30"/>
        <v>0</v>
      </c>
      <c r="V65" s="99">
        <f t="shared" si="31"/>
        <v>0</v>
      </c>
      <c r="W65" s="90"/>
      <c r="X65" s="97">
        <f t="shared" si="32"/>
        <v>0</v>
      </c>
      <c r="Y65" s="97">
        <f t="shared" si="33"/>
        <v>0</v>
      </c>
      <c r="Z65" s="97">
        <f t="shared" si="34"/>
        <v>0</v>
      </c>
      <c r="AB65" s="99">
        <v>0</v>
      </c>
      <c r="AC65" s="99">
        <f>G65*1</f>
        <v>0</v>
      </c>
      <c r="AD65" s="99">
        <f>G65*(1-1)</f>
        <v>0</v>
      </c>
      <c r="AE65" s="98">
        <v>0</v>
      </c>
      <c r="AK65" s="99">
        <f t="shared" si="35"/>
        <v>0</v>
      </c>
      <c r="AL65" s="99">
        <f t="shared" si="36"/>
        <v>0</v>
      </c>
      <c r="AM65" s="100" t="s">
        <v>833</v>
      </c>
      <c r="AN65" s="100" t="s">
        <v>757</v>
      </c>
      <c r="AO65" s="90" t="s">
        <v>758</v>
      </c>
      <c r="AQ65" s="99">
        <f t="shared" si="37"/>
        <v>0</v>
      </c>
      <c r="AR65" s="99">
        <f t="shared" si="38"/>
        <v>0</v>
      </c>
      <c r="AS65" s="99">
        <v>0</v>
      </c>
      <c r="AT65" s="99">
        <f t="shared" si="39"/>
        <v>0</v>
      </c>
    </row>
    <row r="66" spans="1:46">
      <c r="A66" s="94" t="s">
        <v>886</v>
      </c>
      <c r="B66" s="94"/>
      <c r="C66" s="94" t="s">
        <v>887</v>
      </c>
      <c r="D66" s="95" t="s">
        <v>888</v>
      </c>
      <c r="E66" s="95" t="s">
        <v>52</v>
      </c>
      <c r="F66" s="96">
        <v>1</v>
      </c>
      <c r="G66" s="96"/>
      <c r="H66" s="97">
        <f t="shared" si="20"/>
        <v>0</v>
      </c>
      <c r="I66" s="97">
        <f t="shared" si="21"/>
        <v>0</v>
      </c>
      <c r="J66" s="97">
        <f t="shared" si="22"/>
        <v>0</v>
      </c>
      <c r="K66" s="97">
        <v>1.1E-4</v>
      </c>
      <c r="L66" s="97">
        <f t="shared" si="23"/>
        <v>1.1E-4</v>
      </c>
      <c r="M66" s="98" t="s">
        <v>882</v>
      </c>
      <c r="N66" s="99">
        <f t="shared" si="24"/>
        <v>0</v>
      </c>
      <c r="P66" s="99">
        <f t="shared" si="25"/>
        <v>0</v>
      </c>
      <c r="Q66" s="99">
        <f t="shared" si="26"/>
        <v>0</v>
      </c>
      <c r="R66" s="99">
        <f t="shared" si="27"/>
        <v>0</v>
      </c>
      <c r="S66" s="99">
        <f t="shared" si="28"/>
        <v>0</v>
      </c>
      <c r="T66" s="99">
        <f t="shared" si="29"/>
        <v>0</v>
      </c>
      <c r="U66" s="99">
        <f t="shared" si="30"/>
        <v>0</v>
      </c>
      <c r="V66" s="99">
        <f t="shared" si="31"/>
        <v>0</v>
      </c>
      <c r="W66" s="90"/>
      <c r="X66" s="97">
        <f t="shared" si="32"/>
        <v>0</v>
      </c>
      <c r="Y66" s="97">
        <f t="shared" si="33"/>
        <v>0</v>
      </c>
      <c r="Z66" s="97">
        <f t="shared" si="34"/>
        <v>0</v>
      </c>
      <c r="AB66" s="99">
        <v>0</v>
      </c>
      <c r="AC66" s="99">
        <f>G66*0.663229461756374</f>
        <v>0</v>
      </c>
      <c r="AD66" s="99">
        <f>G66*(1-0.663229461756374)</f>
        <v>0</v>
      </c>
      <c r="AE66" s="98">
        <v>0</v>
      </c>
      <c r="AK66" s="99">
        <f t="shared" si="35"/>
        <v>0</v>
      </c>
      <c r="AL66" s="99">
        <f t="shared" si="36"/>
        <v>0</v>
      </c>
      <c r="AM66" s="100" t="s">
        <v>833</v>
      </c>
      <c r="AN66" s="100" t="s">
        <v>757</v>
      </c>
      <c r="AO66" s="90" t="s">
        <v>758</v>
      </c>
      <c r="AQ66" s="99">
        <f t="shared" si="37"/>
        <v>0</v>
      </c>
      <c r="AR66" s="99">
        <f t="shared" si="38"/>
        <v>0</v>
      </c>
      <c r="AS66" s="99">
        <v>0</v>
      </c>
      <c r="AT66" s="99">
        <f t="shared" si="39"/>
        <v>1.1E-4</v>
      </c>
    </row>
    <row r="67" spans="1:46">
      <c r="A67" s="94" t="s">
        <v>889</v>
      </c>
      <c r="B67" s="94"/>
      <c r="C67" s="94" t="s">
        <v>890</v>
      </c>
      <c r="D67" s="95" t="s">
        <v>891</v>
      </c>
      <c r="E67" s="95" t="s">
        <v>52</v>
      </c>
      <c r="F67" s="96">
        <v>5</v>
      </c>
      <c r="G67" s="96"/>
      <c r="H67" s="97">
        <f t="shared" si="20"/>
        <v>0</v>
      </c>
      <c r="I67" s="97">
        <f t="shared" si="21"/>
        <v>0</v>
      </c>
      <c r="J67" s="97">
        <f t="shared" si="22"/>
        <v>0</v>
      </c>
      <c r="K67" s="97">
        <v>2.0000000000000001E-4</v>
      </c>
      <c r="L67" s="97">
        <f t="shared" si="23"/>
        <v>1E-3</v>
      </c>
      <c r="M67" s="98" t="s">
        <v>755</v>
      </c>
      <c r="N67" s="99">
        <f t="shared" si="24"/>
        <v>0</v>
      </c>
      <c r="P67" s="99">
        <f t="shared" si="25"/>
        <v>0</v>
      </c>
      <c r="Q67" s="99">
        <f t="shared" si="26"/>
        <v>0</v>
      </c>
      <c r="R67" s="99">
        <f t="shared" si="27"/>
        <v>0</v>
      </c>
      <c r="S67" s="99">
        <f t="shared" si="28"/>
        <v>0</v>
      </c>
      <c r="T67" s="99">
        <f t="shared" si="29"/>
        <v>0</v>
      </c>
      <c r="U67" s="99">
        <f t="shared" si="30"/>
        <v>0</v>
      </c>
      <c r="V67" s="99">
        <f t="shared" si="31"/>
        <v>0</v>
      </c>
      <c r="W67" s="90"/>
      <c r="X67" s="97">
        <f t="shared" si="32"/>
        <v>0</v>
      </c>
      <c r="Y67" s="97">
        <f t="shared" si="33"/>
        <v>0</v>
      </c>
      <c r="Z67" s="97">
        <f t="shared" si="34"/>
        <v>0</v>
      </c>
      <c r="AB67" s="99">
        <v>0</v>
      </c>
      <c r="AC67" s="99">
        <f>G67*0.701419068736142</f>
        <v>0</v>
      </c>
      <c r="AD67" s="99">
        <f>G67*(1-0.701419068736142)</f>
        <v>0</v>
      </c>
      <c r="AE67" s="98">
        <v>0</v>
      </c>
      <c r="AK67" s="99">
        <f t="shared" si="35"/>
        <v>0</v>
      </c>
      <c r="AL67" s="99">
        <f t="shared" si="36"/>
        <v>0</v>
      </c>
      <c r="AM67" s="100" t="s">
        <v>833</v>
      </c>
      <c r="AN67" s="100" t="s">
        <v>757</v>
      </c>
      <c r="AO67" s="90" t="s">
        <v>758</v>
      </c>
      <c r="AQ67" s="99">
        <f t="shared" si="37"/>
        <v>0</v>
      </c>
      <c r="AR67" s="99">
        <f t="shared" si="38"/>
        <v>0</v>
      </c>
      <c r="AS67" s="99">
        <v>0</v>
      </c>
      <c r="AT67" s="99">
        <f t="shared" si="39"/>
        <v>1E-3</v>
      </c>
    </row>
    <row r="68" spans="1:46">
      <c r="A68" s="94" t="s">
        <v>892</v>
      </c>
      <c r="B68" s="94"/>
      <c r="C68" s="94" t="s">
        <v>893</v>
      </c>
      <c r="D68" s="95" t="s">
        <v>894</v>
      </c>
      <c r="E68" s="95" t="s">
        <v>52</v>
      </c>
      <c r="F68" s="96">
        <v>1</v>
      </c>
      <c r="G68" s="96"/>
      <c r="H68" s="97">
        <f t="shared" si="20"/>
        <v>0</v>
      </c>
      <c r="I68" s="97">
        <f t="shared" si="21"/>
        <v>0</v>
      </c>
      <c r="J68" s="97">
        <f t="shared" si="22"/>
        <v>0</v>
      </c>
      <c r="K68" s="97">
        <v>2.7E-4</v>
      </c>
      <c r="L68" s="97">
        <f t="shared" si="23"/>
        <v>2.7E-4</v>
      </c>
      <c r="M68" s="98" t="s">
        <v>755</v>
      </c>
      <c r="N68" s="99">
        <f t="shared" si="24"/>
        <v>0</v>
      </c>
      <c r="P68" s="99">
        <f t="shared" si="25"/>
        <v>0</v>
      </c>
      <c r="Q68" s="99">
        <f t="shared" si="26"/>
        <v>0</v>
      </c>
      <c r="R68" s="99">
        <f t="shared" si="27"/>
        <v>0</v>
      </c>
      <c r="S68" s="99">
        <f t="shared" si="28"/>
        <v>0</v>
      </c>
      <c r="T68" s="99">
        <f t="shared" si="29"/>
        <v>0</v>
      </c>
      <c r="U68" s="99">
        <f t="shared" si="30"/>
        <v>0</v>
      </c>
      <c r="V68" s="99">
        <f t="shared" si="31"/>
        <v>0</v>
      </c>
      <c r="W68" s="90"/>
      <c r="X68" s="97">
        <f t="shared" si="32"/>
        <v>0</v>
      </c>
      <c r="Y68" s="97">
        <f t="shared" si="33"/>
        <v>0</v>
      </c>
      <c r="Z68" s="97">
        <f t="shared" si="34"/>
        <v>0</v>
      </c>
      <c r="AB68" s="99">
        <v>0</v>
      </c>
      <c r="AC68" s="99">
        <f>G68*0.7475641858398</f>
        <v>0</v>
      </c>
      <c r="AD68" s="99">
        <f>G68*(1-0.7475641858398)</f>
        <v>0</v>
      </c>
      <c r="AE68" s="98">
        <v>0</v>
      </c>
      <c r="AK68" s="99">
        <f t="shared" si="35"/>
        <v>0</v>
      </c>
      <c r="AL68" s="99">
        <f t="shared" si="36"/>
        <v>0</v>
      </c>
      <c r="AM68" s="100" t="s">
        <v>833</v>
      </c>
      <c r="AN68" s="100" t="s">
        <v>757</v>
      </c>
      <c r="AO68" s="90" t="s">
        <v>758</v>
      </c>
      <c r="AQ68" s="99">
        <f t="shared" si="37"/>
        <v>0</v>
      </c>
      <c r="AR68" s="99">
        <f t="shared" si="38"/>
        <v>0</v>
      </c>
      <c r="AS68" s="99">
        <v>0</v>
      </c>
      <c r="AT68" s="99">
        <f t="shared" si="39"/>
        <v>2.7E-4</v>
      </c>
    </row>
    <row r="69" spans="1:46">
      <c r="A69" s="94" t="s">
        <v>895</v>
      </c>
      <c r="B69" s="94"/>
      <c r="C69" s="94" t="s">
        <v>896</v>
      </c>
      <c r="D69" s="95" t="s">
        <v>897</v>
      </c>
      <c r="E69" s="95" t="s">
        <v>52</v>
      </c>
      <c r="F69" s="96">
        <v>1</v>
      </c>
      <c r="G69" s="96"/>
      <c r="H69" s="97">
        <f t="shared" si="20"/>
        <v>0</v>
      </c>
      <c r="I69" s="97">
        <f t="shared" si="21"/>
        <v>0</v>
      </c>
      <c r="J69" s="97">
        <f t="shared" si="22"/>
        <v>0</v>
      </c>
      <c r="K69" s="97">
        <v>4.0000000000000002E-4</v>
      </c>
      <c r="L69" s="97">
        <f t="shared" si="23"/>
        <v>4.0000000000000002E-4</v>
      </c>
      <c r="M69" s="98" t="s">
        <v>755</v>
      </c>
      <c r="N69" s="99">
        <f t="shared" si="24"/>
        <v>0</v>
      </c>
      <c r="P69" s="99">
        <f t="shared" si="25"/>
        <v>0</v>
      </c>
      <c r="Q69" s="99">
        <f t="shared" si="26"/>
        <v>0</v>
      </c>
      <c r="R69" s="99">
        <f t="shared" si="27"/>
        <v>0</v>
      </c>
      <c r="S69" s="99">
        <f t="shared" si="28"/>
        <v>0</v>
      </c>
      <c r="T69" s="99">
        <f t="shared" si="29"/>
        <v>0</v>
      </c>
      <c r="U69" s="99">
        <f t="shared" si="30"/>
        <v>0</v>
      </c>
      <c r="V69" s="99">
        <f t="shared" si="31"/>
        <v>0</v>
      </c>
      <c r="W69" s="90"/>
      <c r="X69" s="97">
        <f t="shared" si="32"/>
        <v>0</v>
      </c>
      <c r="Y69" s="97">
        <f t="shared" si="33"/>
        <v>0</v>
      </c>
      <c r="Z69" s="97">
        <f t="shared" si="34"/>
        <v>0</v>
      </c>
      <c r="AB69" s="99">
        <v>0</v>
      </c>
      <c r="AC69" s="99">
        <f>G69*0.827580025608195</f>
        <v>0</v>
      </c>
      <c r="AD69" s="99">
        <f>G69*(1-0.827580025608195)</f>
        <v>0</v>
      </c>
      <c r="AE69" s="98">
        <v>0</v>
      </c>
      <c r="AK69" s="99">
        <f t="shared" si="35"/>
        <v>0</v>
      </c>
      <c r="AL69" s="99">
        <f t="shared" si="36"/>
        <v>0</v>
      </c>
      <c r="AM69" s="100" t="s">
        <v>833</v>
      </c>
      <c r="AN69" s="100" t="s">
        <v>757</v>
      </c>
      <c r="AO69" s="90" t="s">
        <v>758</v>
      </c>
      <c r="AQ69" s="99">
        <f t="shared" si="37"/>
        <v>0</v>
      </c>
      <c r="AR69" s="99">
        <f t="shared" si="38"/>
        <v>0</v>
      </c>
      <c r="AS69" s="99">
        <v>0</v>
      </c>
      <c r="AT69" s="99">
        <f t="shared" si="39"/>
        <v>4.0000000000000002E-4</v>
      </c>
    </row>
    <row r="70" spans="1:46">
      <c r="A70" s="94" t="s">
        <v>898</v>
      </c>
      <c r="B70" s="94"/>
      <c r="C70" s="94" t="s">
        <v>899</v>
      </c>
      <c r="D70" s="95" t="s">
        <v>900</v>
      </c>
      <c r="E70" s="95" t="s">
        <v>52</v>
      </c>
      <c r="F70" s="96">
        <v>1</v>
      </c>
      <c r="G70" s="96"/>
      <c r="H70" s="97">
        <f t="shared" si="20"/>
        <v>0</v>
      </c>
      <c r="I70" s="97">
        <f t="shared" si="21"/>
        <v>0</v>
      </c>
      <c r="J70" s="97">
        <f t="shared" si="22"/>
        <v>0</v>
      </c>
      <c r="K70" s="97">
        <v>5.4000000000000001E-4</v>
      </c>
      <c r="L70" s="97">
        <f t="shared" si="23"/>
        <v>5.4000000000000001E-4</v>
      </c>
      <c r="M70" s="98" t="s">
        <v>755</v>
      </c>
      <c r="N70" s="99">
        <f t="shared" si="24"/>
        <v>0</v>
      </c>
      <c r="P70" s="99">
        <f t="shared" si="25"/>
        <v>0</v>
      </c>
      <c r="Q70" s="99">
        <f t="shared" si="26"/>
        <v>0</v>
      </c>
      <c r="R70" s="99">
        <f t="shared" si="27"/>
        <v>0</v>
      </c>
      <c r="S70" s="99">
        <f t="shared" si="28"/>
        <v>0</v>
      </c>
      <c r="T70" s="99">
        <f t="shared" si="29"/>
        <v>0</v>
      </c>
      <c r="U70" s="99">
        <f t="shared" si="30"/>
        <v>0</v>
      </c>
      <c r="V70" s="99">
        <f t="shared" si="31"/>
        <v>0</v>
      </c>
      <c r="W70" s="90"/>
      <c r="X70" s="97">
        <f t="shared" si="32"/>
        <v>0</v>
      </c>
      <c r="Y70" s="97">
        <f t="shared" si="33"/>
        <v>0</v>
      </c>
      <c r="Z70" s="97">
        <f t="shared" si="34"/>
        <v>0</v>
      </c>
      <c r="AB70" s="99">
        <v>0</v>
      </c>
      <c r="AC70" s="99">
        <f>G70*0.864017237251616</f>
        <v>0</v>
      </c>
      <c r="AD70" s="99">
        <f>G70*(1-0.864017237251616)</f>
        <v>0</v>
      </c>
      <c r="AE70" s="98">
        <v>0</v>
      </c>
      <c r="AK70" s="99">
        <f t="shared" si="35"/>
        <v>0</v>
      </c>
      <c r="AL70" s="99">
        <f t="shared" si="36"/>
        <v>0</v>
      </c>
      <c r="AM70" s="100" t="s">
        <v>833</v>
      </c>
      <c r="AN70" s="100" t="s">
        <v>757</v>
      </c>
      <c r="AO70" s="90" t="s">
        <v>758</v>
      </c>
      <c r="AQ70" s="99">
        <f t="shared" si="37"/>
        <v>0</v>
      </c>
      <c r="AR70" s="99">
        <f t="shared" si="38"/>
        <v>0</v>
      </c>
      <c r="AS70" s="99">
        <v>0</v>
      </c>
      <c r="AT70" s="99">
        <f t="shared" si="39"/>
        <v>5.4000000000000001E-4</v>
      </c>
    </row>
    <row r="71" spans="1:46">
      <c r="A71" s="94" t="s">
        <v>901</v>
      </c>
      <c r="B71" s="94"/>
      <c r="C71" s="94" t="s">
        <v>902</v>
      </c>
      <c r="D71" s="95" t="s">
        <v>903</v>
      </c>
      <c r="E71" s="95" t="s">
        <v>52</v>
      </c>
      <c r="F71" s="96">
        <v>1</v>
      </c>
      <c r="G71" s="96"/>
      <c r="H71" s="97">
        <f t="shared" si="20"/>
        <v>0</v>
      </c>
      <c r="I71" s="97">
        <f t="shared" si="21"/>
        <v>0</v>
      </c>
      <c r="J71" s="97">
        <f t="shared" si="22"/>
        <v>0</v>
      </c>
      <c r="K71" s="97">
        <v>1.5E-3</v>
      </c>
      <c r="L71" s="97">
        <f t="shared" si="23"/>
        <v>1.5E-3</v>
      </c>
      <c r="M71" s="98" t="s">
        <v>882</v>
      </c>
      <c r="N71" s="99">
        <f t="shared" si="24"/>
        <v>0</v>
      </c>
      <c r="P71" s="99">
        <f t="shared" si="25"/>
        <v>0</v>
      </c>
      <c r="Q71" s="99">
        <f t="shared" si="26"/>
        <v>0</v>
      </c>
      <c r="R71" s="99">
        <f t="shared" si="27"/>
        <v>0</v>
      </c>
      <c r="S71" s="99">
        <f t="shared" si="28"/>
        <v>0</v>
      </c>
      <c r="T71" s="99">
        <f t="shared" si="29"/>
        <v>0</v>
      </c>
      <c r="U71" s="99">
        <f t="shared" si="30"/>
        <v>0</v>
      </c>
      <c r="V71" s="99">
        <f t="shared" si="31"/>
        <v>0</v>
      </c>
      <c r="W71" s="90"/>
      <c r="X71" s="97">
        <f t="shared" si="32"/>
        <v>0</v>
      </c>
      <c r="Y71" s="97">
        <f t="shared" si="33"/>
        <v>0</v>
      </c>
      <c r="Z71" s="97">
        <f t="shared" si="34"/>
        <v>0</v>
      </c>
      <c r="AB71" s="99">
        <v>0</v>
      </c>
      <c r="AC71" s="99">
        <f>G71*0.970501240694789</f>
        <v>0</v>
      </c>
      <c r="AD71" s="99">
        <f>G71*(1-0.970501240694789)</f>
        <v>0</v>
      </c>
      <c r="AE71" s="98">
        <v>0</v>
      </c>
      <c r="AK71" s="99">
        <f t="shared" si="35"/>
        <v>0</v>
      </c>
      <c r="AL71" s="99">
        <f t="shared" si="36"/>
        <v>0</v>
      </c>
      <c r="AM71" s="100" t="s">
        <v>833</v>
      </c>
      <c r="AN71" s="100" t="s">
        <v>757</v>
      </c>
      <c r="AO71" s="90" t="s">
        <v>758</v>
      </c>
      <c r="AQ71" s="99">
        <f t="shared" si="37"/>
        <v>0</v>
      </c>
      <c r="AR71" s="99">
        <f t="shared" si="38"/>
        <v>0</v>
      </c>
      <c r="AS71" s="99">
        <v>0</v>
      </c>
      <c r="AT71" s="99">
        <f t="shared" si="39"/>
        <v>1.5E-3</v>
      </c>
    </row>
    <row r="72" spans="1:46">
      <c r="A72" s="94" t="s">
        <v>904</v>
      </c>
      <c r="B72" s="94"/>
      <c r="C72" s="94" t="s">
        <v>905</v>
      </c>
      <c r="D72" s="95" t="s">
        <v>906</v>
      </c>
      <c r="E72" s="95" t="s">
        <v>52</v>
      </c>
      <c r="F72" s="96">
        <v>2</v>
      </c>
      <c r="G72" s="96"/>
      <c r="H72" s="97">
        <f t="shared" si="20"/>
        <v>0</v>
      </c>
      <c r="I72" s="97">
        <f t="shared" si="21"/>
        <v>0</v>
      </c>
      <c r="J72" s="97">
        <f t="shared" si="22"/>
        <v>0</v>
      </c>
      <c r="K72" s="97">
        <v>1.9000000000000001E-4</v>
      </c>
      <c r="L72" s="97">
        <f t="shared" si="23"/>
        <v>3.8000000000000002E-4</v>
      </c>
      <c r="M72" s="98" t="s">
        <v>755</v>
      </c>
      <c r="N72" s="99">
        <f t="shared" si="24"/>
        <v>0</v>
      </c>
      <c r="P72" s="99">
        <f t="shared" si="25"/>
        <v>0</v>
      </c>
      <c r="Q72" s="99">
        <f t="shared" si="26"/>
        <v>0</v>
      </c>
      <c r="R72" s="99">
        <f t="shared" si="27"/>
        <v>0</v>
      </c>
      <c r="S72" s="99">
        <f t="shared" si="28"/>
        <v>0</v>
      </c>
      <c r="T72" s="99">
        <f t="shared" si="29"/>
        <v>0</v>
      </c>
      <c r="U72" s="99">
        <f t="shared" si="30"/>
        <v>0</v>
      </c>
      <c r="V72" s="99">
        <f t="shared" si="31"/>
        <v>0</v>
      </c>
      <c r="W72" s="90"/>
      <c r="X72" s="97">
        <f t="shared" si="32"/>
        <v>0</v>
      </c>
      <c r="Y72" s="97">
        <f t="shared" si="33"/>
        <v>0</v>
      </c>
      <c r="Z72" s="97">
        <f t="shared" si="34"/>
        <v>0</v>
      </c>
      <c r="AB72" s="99">
        <v>0</v>
      </c>
      <c r="AC72" s="99">
        <f>G72*0.848258426966292</f>
        <v>0</v>
      </c>
      <c r="AD72" s="99">
        <f>G72*(1-0.848258426966292)</f>
        <v>0</v>
      </c>
      <c r="AE72" s="98">
        <v>0</v>
      </c>
      <c r="AK72" s="99">
        <f t="shared" si="35"/>
        <v>0</v>
      </c>
      <c r="AL72" s="99">
        <f t="shared" si="36"/>
        <v>0</v>
      </c>
      <c r="AM72" s="100" t="s">
        <v>833</v>
      </c>
      <c r="AN72" s="100" t="s">
        <v>757</v>
      </c>
      <c r="AO72" s="90" t="s">
        <v>758</v>
      </c>
      <c r="AQ72" s="99">
        <f t="shared" si="37"/>
        <v>0</v>
      </c>
      <c r="AR72" s="99">
        <f t="shared" si="38"/>
        <v>0</v>
      </c>
      <c r="AS72" s="99">
        <v>0</v>
      </c>
      <c r="AT72" s="99">
        <f t="shared" si="39"/>
        <v>3.8000000000000002E-4</v>
      </c>
    </row>
    <row r="73" spans="1:46">
      <c r="A73" s="94" t="s">
        <v>907</v>
      </c>
      <c r="B73" s="94"/>
      <c r="C73" s="94" t="s">
        <v>908</v>
      </c>
      <c r="D73" s="95" t="s">
        <v>909</v>
      </c>
      <c r="E73" s="95" t="s">
        <v>52</v>
      </c>
      <c r="F73" s="96">
        <v>1</v>
      </c>
      <c r="G73" s="96"/>
      <c r="H73" s="97">
        <f t="shared" si="20"/>
        <v>0</v>
      </c>
      <c r="I73" s="97">
        <f t="shared" si="21"/>
        <v>0</v>
      </c>
      <c r="J73" s="97">
        <f t="shared" si="22"/>
        <v>0</v>
      </c>
      <c r="K73" s="97">
        <v>1.2800000000000001E-3</v>
      </c>
      <c r="L73" s="97">
        <f t="shared" si="23"/>
        <v>1.2800000000000001E-3</v>
      </c>
      <c r="M73" s="98" t="s">
        <v>755</v>
      </c>
      <c r="N73" s="99">
        <f t="shared" si="24"/>
        <v>0</v>
      </c>
      <c r="P73" s="99">
        <f t="shared" si="25"/>
        <v>0</v>
      </c>
      <c r="Q73" s="99">
        <f t="shared" si="26"/>
        <v>0</v>
      </c>
      <c r="R73" s="99">
        <f t="shared" si="27"/>
        <v>0</v>
      </c>
      <c r="S73" s="99">
        <f t="shared" si="28"/>
        <v>0</v>
      </c>
      <c r="T73" s="99">
        <f t="shared" si="29"/>
        <v>0</v>
      </c>
      <c r="U73" s="99">
        <f t="shared" si="30"/>
        <v>0</v>
      </c>
      <c r="V73" s="99">
        <f t="shared" si="31"/>
        <v>0</v>
      </c>
      <c r="W73" s="90"/>
      <c r="X73" s="97">
        <f t="shared" si="32"/>
        <v>0</v>
      </c>
      <c r="Y73" s="97">
        <f t="shared" si="33"/>
        <v>0</v>
      </c>
      <c r="Z73" s="97">
        <f t="shared" si="34"/>
        <v>0</v>
      </c>
      <c r="AB73" s="99">
        <v>0</v>
      </c>
      <c r="AC73" s="99">
        <f>G73*0.957539059579876</f>
        <v>0</v>
      </c>
      <c r="AD73" s="99">
        <f>G73*(1-0.957539059579876)</f>
        <v>0</v>
      </c>
      <c r="AE73" s="98">
        <v>0</v>
      </c>
      <c r="AK73" s="99">
        <f t="shared" si="35"/>
        <v>0</v>
      </c>
      <c r="AL73" s="99">
        <f t="shared" si="36"/>
        <v>0</v>
      </c>
      <c r="AM73" s="100" t="s">
        <v>833</v>
      </c>
      <c r="AN73" s="100" t="s">
        <v>757</v>
      </c>
      <c r="AO73" s="90" t="s">
        <v>758</v>
      </c>
      <c r="AQ73" s="99">
        <f t="shared" si="37"/>
        <v>0</v>
      </c>
      <c r="AR73" s="99">
        <f t="shared" si="38"/>
        <v>0</v>
      </c>
      <c r="AS73" s="99">
        <v>0</v>
      </c>
      <c r="AT73" s="99">
        <f t="shared" si="39"/>
        <v>1.2800000000000001E-3</v>
      </c>
    </row>
    <row r="74" spans="1:46" ht="25.5">
      <c r="A74" s="94" t="s">
        <v>910</v>
      </c>
      <c r="B74" s="94"/>
      <c r="C74" s="94" t="s">
        <v>911</v>
      </c>
      <c r="D74" s="95" t="s">
        <v>912</v>
      </c>
      <c r="E74" s="95" t="s">
        <v>792</v>
      </c>
      <c r="F74" s="96">
        <v>1</v>
      </c>
      <c r="G74" s="96"/>
      <c r="H74" s="97">
        <f t="shared" si="20"/>
        <v>0</v>
      </c>
      <c r="I74" s="97">
        <f t="shared" si="21"/>
        <v>0</v>
      </c>
      <c r="J74" s="97">
        <f t="shared" si="22"/>
        <v>0</v>
      </c>
      <c r="K74" s="97">
        <v>1.1000000000000001E-3</v>
      </c>
      <c r="L74" s="97">
        <f t="shared" si="23"/>
        <v>1.1000000000000001E-3</v>
      </c>
      <c r="M74" s="98"/>
      <c r="N74" s="99">
        <f t="shared" si="24"/>
        <v>0</v>
      </c>
      <c r="P74" s="99">
        <f t="shared" si="25"/>
        <v>0</v>
      </c>
      <c r="Q74" s="99">
        <f t="shared" si="26"/>
        <v>0</v>
      </c>
      <c r="R74" s="99">
        <f t="shared" si="27"/>
        <v>0</v>
      </c>
      <c r="S74" s="99">
        <f t="shared" si="28"/>
        <v>0</v>
      </c>
      <c r="T74" s="99">
        <f t="shared" si="29"/>
        <v>0</v>
      </c>
      <c r="U74" s="99">
        <f t="shared" si="30"/>
        <v>0</v>
      </c>
      <c r="V74" s="99">
        <f t="shared" si="31"/>
        <v>0</v>
      </c>
      <c r="W74" s="90"/>
      <c r="X74" s="97">
        <f t="shared" si="32"/>
        <v>0</v>
      </c>
      <c r="Y74" s="97">
        <f t="shared" si="33"/>
        <v>0</v>
      </c>
      <c r="Z74" s="97">
        <f t="shared" si="34"/>
        <v>0</v>
      </c>
      <c r="AB74" s="99">
        <v>0</v>
      </c>
      <c r="AC74" s="99">
        <f>G74*0.936170212765957</f>
        <v>0</v>
      </c>
      <c r="AD74" s="99">
        <f>G74*(1-0.936170212765957)</f>
        <v>0</v>
      </c>
      <c r="AE74" s="98">
        <v>0</v>
      </c>
      <c r="AK74" s="99">
        <f t="shared" si="35"/>
        <v>0</v>
      </c>
      <c r="AL74" s="99">
        <f t="shared" si="36"/>
        <v>0</v>
      </c>
      <c r="AM74" s="100" t="s">
        <v>833</v>
      </c>
      <c r="AN74" s="100" t="s">
        <v>757</v>
      </c>
      <c r="AO74" s="90" t="s">
        <v>758</v>
      </c>
      <c r="AQ74" s="99">
        <f t="shared" si="37"/>
        <v>0</v>
      </c>
      <c r="AR74" s="99">
        <f t="shared" si="38"/>
        <v>0</v>
      </c>
      <c r="AS74" s="99">
        <v>0</v>
      </c>
      <c r="AT74" s="99">
        <f t="shared" si="39"/>
        <v>1.1000000000000001E-3</v>
      </c>
    </row>
    <row r="75" spans="1:46">
      <c r="A75" s="94" t="s">
        <v>531</v>
      </c>
      <c r="B75" s="94"/>
      <c r="C75" s="94" t="s">
        <v>913</v>
      </c>
      <c r="D75" s="95" t="s">
        <v>914</v>
      </c>
      <c r="E75" s="95" t="s">
        <v>52</v>
      </c>
      <c r="F75" s="96">
        <v>8</v>
      </c>
      <c r="G75" s="96"/>
      <c r="H75" s="97">
        <f t="shared" si="20"/>
        <v>0</v>
      </c>
      <c r="I75" s="97">
        <f t="shared" si="21"/>
        <v>0</v>
      </c>
      <c r="J75" s="97">
        <f t="shared" si="22"/>
        <v>0</v>
      </c>
      <c r="K75" s="97">
        <v>0</v>
      </c>
      <c r="L75" s="97">
        <f t="shared" si="23"/>
        <v>0</v>
      </c>
      <c r="M75" s="98" t="s">
        <v>755</v>
      </c>
      <c r="N75" s="99">
        <f t="shared" si="24"/>
        <v>0</v>
      </c>
      <c r="P75" s="99">
        <f t="shared" si="25"/>
        <v>0</v>
      </c>
      <c r="Q75" s="99">
        <f t="shared" si="26"/>
        <v>0</v>
      </c>
      <c r="R75" s="99">
        <f t="shared" si="27"/>
        <v>0</v>
      </c>
      <c r="S75" s="99">
        <f t="shared" si="28"/>
        <v>0</v>
      </c>
      <c r="T75" s="99">
        <f t="shared" si="29"/>
        <v>0</v>
      </c>
      <c r="U75" s="99">
        <f t="shared" si="30"/>
        <v>0</v>
      </c>
      <c r="V75" s="99">
        <f t="shared" si="31"/>
        <v>0</v>
      </c>
      <c r="W75" s="90"/>
      <c r="X75" s="97">
        <f t="shared" si="32"/>
        <v>0</v>
      </c>
      <c r="Y75" s="97">
        <f t="shared" si="33"/>
        <v>0</v>
      </c>
      <c r="Z75" s="97">
        <f t="shared" si="34"/>
        <v>0</v>
      </c>
      <c r="AB75" s="99">
        <v>0</v>
      </c>
      <c r="AC75" s="99">
        <f>G75*0.0591124364146641</f>
        <v>0</v>
      </c>
      <c r="AD75" s="99">
        <f>G75*(1-0.0591124364146641)</f>
        <v>0</v>
      </c>
      <c r="AE75" s="98">
        <v>0</v>
      </c>
      <c r="AK75" s="99">
        <f t="shared" si="35"/>
        <v>0</v>
      </c>
      <c r="AL75" s="99">
        <f t="shared" si="36"/>
        <v>0</v>
      </c>
      <c r="AM75" s="100" t="s">
        <v>833</v>
      </c>
      <c r="AN75" s="100" t="s">
        <v>757</v>
      </c>
      <c r="AO75" s="90" t="s">
        <v>758</v>
      </c>
      <c r="AQ75" s="99">
        <f t="shared" si="37"/>
        <v>0</v>
      </c>
      <c r="AR75" s="99">
        <f t="shared" si="38"/>
        <v>0</v>
      </c>
      <c r="AS75" s="99">
        <v>0</v>
      </c>
      <c r="AT75" s="99">
        <f t="shared" si="39"/>
        <v>0</v>
      </c>
    </row>
    <row r="76" spans="1:46">
      <c r="A76" s="94" t="s">
        <v>915</v>
      </c>
      <c r="B76" s="94"/>
      <c r="C76" s="94" t="s">
        <v>916</v>
      </c>
      <c r="D76" s="95" t="s">
        <v>917</v>
      </c>
      <c r="E76" s="95" t="s">
        <v>52</v>
      </c>
      <c r="F76" s="96">
        <v>12</v>
      </c>
      <c r="G76" s="96"/>
      <c r="H76" s="97">
        <f t="shared" si="20"/>
        <v>0</v>
      </c>
      <c r="I76" s="97">
        <f t="shared" si="21"/>
        <v>0</v>
      </c>
      <c r="J76" s="97">
        <f t="shared" si="22"/>
        <v>0</v>
      </c>
      <c r="K76" s="97">
        <v>0</v>
      </c>
      <c r="L76" s="97">
        <f t="shared" si="23"/>
        <v>0</v>
      </c>
      <c r="M76" s="98" t="s">
        <v>755</v>
      </c>
      <c r="N76" s="99">
        <f t="shared" si="24"/>
        <v>0</v>
      </c>
      <c r="P76" s="99">
        <f t="shared" si="25"/>
        <v>0</v>
      </c>
      <c r="Q76" s="99">
        <f t="shared" si="26"/>
        <v>0</v>
      </c>
      <c r="R76" s="99">
        <f t="shared" si="27"/>
        <v>0</v>
      </c>
      <c r="S76" s="99">
        <f t="shared" si="28"/>
        <v>0</v>
      </c>
      <c r="T76" s="99">
        <f t="shared" si="29"/>
        <v>0</v>
      </c>
      <c r="U76" s="99">
        <f t="shared" si="30"/>
        <v>0</v>
      </c>
      <c r="V76" s="99">
        <f t="shared" si="31"/>
        <v>0</v>
      </c>
      <c r="W76" s="90"/>
      <c r="X76" s="97">
        <f t="shared" si="32"/>
        <v>0</v>
      </c>
      <c r="Y76" s="97">
        <f t="shared" si="33"/>
        <v>0</v>
      </c>
      <c r="Z76" s="97">
        <f t="shared" si="34"/>
        <v>0</v>
      </c>
      <c r="AB76" s="99">
        <v>0</v>
      </c>
      <c r="AC76" s="99">
        <f>G76*0.0625348189415042</f>
        <v>0</v>
      </c>
      <c r="AD76" s="99">
        <f>G76*(1-0.0625348189415042)</f>
        <v>0</v>
      </c>
      <c r="AE76" s="98">
        <v>0</v>
      </c>
      <c r="AK76" s="99">
        <f t="shared" si="35"/>
        <v>0</v>
      </c>
      <c r="AL76" s="99">
        <f t="shared" si="36"/>
        <v>0</v>
      </c>
      <c r="AM76" s="100" t="s">
        <v>833</v>
      </c>
      <c r="AN76" s="100" t="s">
        <v>757</v>
      </c>
      <c r="AO76" s="90" t="s">
        <v>758</v>
      </c>
      <c r="AQ76" s="99">
        <f t="shared" si="37"/>
        <v>0</v>
      </c>
      <c r="AR76" s="99">
        <f t="shared" si="38"/>
        <v>0</v>
      </c>
      <c r="AS76" s="99">
        <v>0</v>
      </c>
      <c r="AT76" s="99">
        <f t="shared" si="39"/>
        <v>0</v>
      </c>
    </row>
    <row r="77" spans="1:46">
      <c r="A77" s="94" t="s">
        <v>615</v>
      </c>
      <c r="B77" s="94"/>
      <c r="C77" s="94" t="s">
        <v>918</v>
      </c>
      <c r="D77" s="95" t="s">
        <v>919</v>
      </c>
      <c r="E77" s="95" t="s">
        <v>52</v>
      </c>
      <c r="F77" s="96">
        <v>8</v>
      </c>
      <c r="G77" s="96"/>
      <c r="H77" s="97">
        <f t="shared" si="20"/>
        <v>0</v>
      </c>
      <c r="I77" s="97">
        <f t="shared" si="21"/>
        <v>0</v>
      </c>
      <c r="J77" s="97">
        <f t="shared" si="22"/>
        <v>0</v>
      </c>
      <c r="K77" s="97">
        <v>0</v>
      </c>
      <c r="L77" s="97">
        <f t="shared" si="23"/>
        <v>0</v>
      </c>
      <c r="M77" s="98" t="s">
        <v>755</v>
      </c>
      <c r="N77" s="99">
        <f t="shared" si="24"/>
        <v>0</v>
      </c>
      <c r="P77" s="99">
        <f t="shared" si="25"/>
        <v>0</v>
      </c>
      <c r="Q77" s="99">
        <f t="shared" si="26"/>
        <v>0</v>
      </c>
      <c r="R77" s="99">
        <f t="shared" si="27"/>
        <v>0</v>
      </c>
      <c r="S77" s="99">
        <f t="shared" si="28"/>
        <v>0</v>
      </c>
      <c r="T77" s="99">
        <f t="shared" si="29"/>
        <v>0</v>
      </c>
      <c r="U77" s="99">
        <f t="shared" si="30"/>
        <v>0</v>
      </c>
      <c r="V77" s="99">
        <f t="shared" si="31"/>
        <v>0</v>
      </c>
      <c r="W77" s="90"/>
      <c r="X77" s="97">
        <f t="shared" si="32"/>
        <v>0</v>
      </c>
      <c r="Y77" s="97">
        <f t="shared" si="33"/>
        <v>0</v>
      </c>
      <c r="Z77" s="97">
        <f t="shared" si="34"/>
        <v>0</v>
      </c>
      <c r="AB77" s="99">
        <v>0</v>
      </c>
      <c r="AC77" s="99">
        <f>G77*0.0836124550303933</f>
        <v>0</v>
      </c>
      <c r="AD77" s="99">
        <f>G77*(1-0.0836124550303933)</f>
        <v>0</v>
      </c>
      <c r="AE77" s="98">
        <v>0</v>
      </c>
      <c r="AK77" s="99">
        <f t="shared" si="35"/>
        <v>0</v>
      </c>
      <c r="AL77" s="99">
        <f t="shared" si="36"/>
        <v>0</v>
      </c>
      <c r="AM77" s="100" t="s">
        <v>833</v>
      </c>
      <c r="AN77" s="100" t="s">
        <v>757</v>
      </c>
      <c r="AO77" s="90" t="s">
        <v>758</v>
      </c>
      <c r="AQ77" s="99">
        <f t="shared" si="37"/>
        <v>0</v>
      </c>
      <c r="AR77" s="99">
        <f t="shared" si="38"/>
        <v>0</v>
      </c>
      <c r="AS77" s="99">
        <v>0</v>
      </c>
      <c r="AT77" s="99">
        <f t="shared" si="39"/>
        <v>0</v>
      </c>
    </row>
    <row r="78" spans="1:46">
      <c r="A78" s="94" t="s">
        <v>665</v>
      </c>
      <c r="B78" s="94"/>
      <c r="C78" s="94" t="s">
        <v>920</v>
      </c>
      <c r="D78" s="95" t="s">
        <v>921</v>
      </c>
      <c r="E78" s="95" t="s">
        <v>52</v>
      </c>
      <c r="F78" s="96">
        <v>1</v>
      </c>
      <c r="G78" s="96"/>
      <c r="H78" s="97">
        <f t="shared" si="20"/>
        <v>0</v>
      </c>
      <c r="I78" s="97">
        <f t="shared" si="21"/>
        <v>0</v>
      </c>
      <c r="J78" s="97">
        <f t="shared" si="22"/>
        <v>0</v>
      </c>
      <c r="K78" s="97">
        <v>6.3200000000000001E-3</v>
      </c>
      <c r="L78" s="97">
        <f t="shared" si="23"/>
        <v>6.3200000000000001E-3</v>
      </c>
      <c r="M78" s="98" t="s">
        <v>882</v>
      </c>
      <c r="N78" s="99">
        <f t="shared" si="24"/>
        <v>0</v>
      </c>
      <c r="P78" s="99">
        <f t="shared" si="25"/>
        <v>0</v>
      </c>
      <c r="Q78" s="99">
        <f t="shared" si="26"/>
        <v>0</v>
      </c>
      <c r="R78" s="99">
        <f t="shared" si="27"/>
        <v>0</v>
      </c>
      <c r="S78" s="99">
        <f t="shared" si="28"/>
        <v>0</v>
      </c>
      <c r="T78" s="99">
        <f t="shared" si="29"/>
        <v>0</v>
      </c>
      <c r="U78" s="99">
        <f t="shared" si="30"/>
        <v>0</v>
      </c>
      <c r="V78" s="99">
        <f t="shared" si="31"/>
        <v>0</v>
      </c>
      <c r="W78" s="90"/>
      <c r="X78" s="97">
        <f t="shared" si="32"/>
        <v>0</v>
      </c>
      <c r="Y78" s="97">
        <f t="shared" si="33"/>
        <v>0</v>
      </c>
      <c r="Z78" s="97">
        <f t="shared" si="34"/>
        <v>0</v>
      </c>
      <c r="AB78" s="99">
        <v>0</v>
      </c>
      <c r="AC78" s="99">
        <f>G78*0.47544885177453</f>
        <v>0</v>
      </c>
      <c r="AD78" s="99">
        <f>G78*(1-0.47544885177453)</f>
        <v>0</v>
      </c>
      <c r="AE78" s="98">
        <v>0</v>
      </c>
      <c r="AK78" s="99">
        <f t="shared" si="35"/>
        <v>0</v>
      </c>
      <c r="AL78" s="99">
        <f t="shared" si="36"/>
        <v>0</v>
      </c>
      <c r="AM78" s="100" t="s">
        <v>833</v>
      </c>
      <c r="AN78" s="100" t="s">
        <v>757</v>
      </c>
      <c r="AO78" s="90" t="s">
        <v>758</v>
      </c>
      <c r="AQ78" s="99">
        <f t="shared" si="37"/>
        <v>0</v>
      </c>
      <c r="AR78" s="99">
        <f t="shared" si="38"/>
        <v>0</v>
      </c>
      <c r="AS78" s="99">
        <v>0</v>
      </c>
      <c r="AT78" s="99">
        <f t="shared" si="39"/>
        <v>6.3200000000000001E-3</v>
      </c>
    </row>
    <row r="79" spans="1:46">
      <c r="A79" s="94" t="s">
        <v>922</v>
      </c>
      <c r="B79" s="94"/>
      <c r="C79" s="94" t="s">
        <v>923</v>
      </c>
      <c r="D79" s="95" t="s">
        <v>924</v>
      </c>
      <c r="E79" s="95" t="s">
        <v>52</v>
      </c>
      <c r="F79" s="96">
        <v>2</v>
      </c>
      <c r="G79" s="96"/>
      <c r="H79" s="97">
        <f t="shared" si="20"/>
        <v>0</v>
      </c>
      <c r="I79" s="97">
        <f t="shared" si="21"/>
        <v>0</v>
      </c>
      <c r="J79" s="97">
        <f t="shared" si="22"/>
        <v>0</v>
      </c>
      <c r="K79" s="97">
        <v>0</v>
      </c>
      <c r="L79" s="97">
        <f t="shared" si="23"/>
        <v>0</v>
      </c>
      <c r="M79" s="98" t="s">
        <v>882</v>
      </c>
      <c r="N79" s="99">
        <f t="shared" si="24"/>
        <v>0</v>
      </c>
      <c r="P79" s="99">
        <f t="shared" si="25"/>
        <v>0</v>
      </c>
      <c r="Q79" s="99">
        <f t="shared" si="26"/>
        <v>0</v>
      </c>
      <c r="R79" s="99">
        <f t="shared" si="27"/>
        <v>0</v>
      </c>
      <c r="S79" s="99">
        <f t="shared" si="28"/>
        <v>0</v>
      </c>
      <c r="T79" s="99">
        <f t="shared" si="29"/>
        <v>0</v>
      </c>
      <c r="U79" s="99">
        <f t="shared" si="30"/>
        <v>0</v>
      </c>
      <c r="V79" s="99">
        <f t="shared" si="31"/>
        <v>0</v>
      </c>
      <c r="W79" s="90"/>
      <c r="X79" s="97">
        <f t="shared" si="32"/>
        <v>0</v>
      </c>
      <c r="Y79" s="97">
        <f t="shared" si="33"/>
        <v>0</v>
      </c>
      <c r="Z79" s="97">
        <f t="shared" si="34"/>
        <v>0</v>
      </c>
      <c r="AB79" s="99">
        <v>0</v>
      </c>
      <c r="AC79" s="99">
        <f>G79*0</f>
        <v>0</v>
      </c>
      <c r="AD79" s="99">
        <f>G79*(1-0)</f>
        <v>0</v>
      </c>
      <c r="AE79" s="98">
        <v>0</v>
      </c>
      <c r="AK79" s="99">
        <f t="shared" si="35"/>
        <v>0</v>
      </c>
      <c r="AL79" s="99">
        <f t="shared" si="36"/>
        <v>0</v>
      </c>
      <c r="AM79" s="100" t="s">
        <v>833</v>
      </c>
      <c r="AN79" s="100" t="s">
        <v>757</v>
      </c>
      <c r="AO79" s="90" t="s">
        <v>758</v>
      </c>
      <c r="AQ79" s="99">
        <f t="shared" si="37"/>
        <v>0</v>
      </c>
      <c r="AR79" s="99">
        <f t="shared" si="38"/>
        <v>0</v>
      </c>
      <c r="AS79" s="99">
        <v>0</v>
      </c>
      <c r="AT79" s="99">
        <f t="shared" si="39"/>
        <v>0</v>
      </c>
    </row>
    <row r="80" spans="1:46">
      <c r="A80" s="94" t="s">
        <v>925</v>
      </c>
      <c r="B80" s="94"/>
      <c r="C80" s="94" t="s">
        <v>926</v>
      </c>
      <c r="D80" s="95" t="s">
        <v>927</v>
      </c>
      <c r="E80" s="95" t="s">
        <v>792</v>
      </c>
      <c r="F80" s="96">
        <v>1</v>
      </c>
      <c r="G80" s="96"/>
      <c r="H80" s="97">
        <f t="shared" si="20"/>
        <v>0</v>
      </c>
      <c r="I80" s="97">
        <f t="shared" si="21"/>
        <v>0</v>
      </c>
      <c r="J80" s="97">
        <f t="shared" si="22"/>
        <v>0</v>
      </c>
      <c r="K80" s="97">
        <v>3.0000000000000001E-3</v>
      </c>
      <c r="L80" s="97">
        <f t="shared" si="23"/>
        <v>3.0000000000000001E-3</v>
      </c>
      <c r="M80" s="98"/>
      <c r="N80" s="99">
        <f t="shared" si="24"/>
        <v>0</v>
      </c>
      <c r="P80" s="99">
        <f t="shared" si="25"/>
        <v>0</v>
      </c>
      <c r="Q80" s="99">
        <f t="shared" si="26"/>
        <v>0</v>
      </c>
      <c r="R80" s="99">
        <f t="shared" si="27"/>
        <v>0</v>
      </c>
      <c r="S80" s="99">
        <f t="shared" si="28"/>
        <v>0</v>
      </c>
      <c r="T80" s="99">
        <f t="shared" si="29"/>
        <v>0</v>
      </c>
      <c r="U80" s="99">
        <f t="shared" si="30"/>
        <v>0</v>
      </c>
      <c r="V80" s="99">
        <f t="shared" si="31"/>
        <v>0</v>
      </c>
      <c r="W80" s="90"/>
      <c r="X80" s="97">
        <f t="shared" si="32"/>
        <v>0</v>
      </c>
      <c r="Y80" s="97">
        <f t="shared" si="33"/>
        <v>0</v>
      </c>
      <c r="Z80" s="97">
        <f t="shared" si="34"/>
        <v>0</v>
      </c>
      <c r="AB80" s="99">
        <v>0</v>
      </c>
      <c r="AC80" s="99">
        <f>G80*0.833333333333333</f>
        <v>0</v>
      </c>
      <c r="AD80" s="99">
        <f>G80*(1-0.833333333333333)</f>
        <v>0</v>
      </c>
      <c r="AE80" s="98">
        <v>0</v>
      </c>
      <c r="AK80" s="99">
        <f t="shared" si="35"/>
        <v>0</v>
      </c>
      <c r="AL80" s="99">
        <f t="shared" si="36"/>
        <v>0</v>
      </c>
      <c r="AM80" s="100" t="s">
        <v>833</v>
      </c>
      <c r="AN80" s="100" t="s">
        <v>757</v>
      </c>
      <c r="AO80" s="90" t="s">
        <v>758</v>
      </c>
      <c r="AQ80" s="99">
        <f t="shared" si="37"/>
        <v>0</v>
      </c>
      <c r="AR80" s="99">
        <f t="shared" si="38"/>
        <v>0</v>
      </c>
      <c r="AS80" s="99">
        <v>0</v>
      </c>
      <c r="AT80" s="99">
        <f t="shared" si="39"/>
        <v>3.0000000000000001E-3</v>
      </c>
    </row>
    <row r="81" spans="1:46" ht="25.5">
      <c r="A81" s="94" t="s">
        <v>928</v>
      </c>
      <c r="B81" s="94"/>
      <c r="C81" s="94" t="s">
        <v>929</v>
      </c>
      <c r="D81" s="95" t="s">
        <v>930</v>
      </c>
      <c r="E81" s="95" t="s">
        <v>52</v>
      </c>
      <c r="F81" s="96">
        <v>2</v>
      </c>
      <c r="G81" s="96"/>
      <c r="H81" s="97">
        <f t="shared" si="20"/>
        <v>0</v>
      </c>
      <c r="I81" s="97">
        <f t="shared" si="21"/>
        <v>0</v>
      </c>
      <c r="J81" s="97">
        <f t="shared" si="22"/>
        <v>0</v>
      </c>
      <c r="K81" s="97">
        <v>0.03</v>
      </c>
      <c r="L81" s="97">
        <f t="shared" si="23"/>
        <v>0.06</v>
      </c>
      <c r="M81" s="98" t="s">
        <v>755</v>
      </c>
      <c r="N81" s="99">
        <f t="shared" si="24"/>
        <v>0</v>
      </c>
      <c r="P81" s="99">
        <f t="shared" si="25"/>
        <v>0</v>
      </c>
      <c r="Q81" s="99">
        <f t="shared" si="26"/>
        <v>0</v>
      </c>
      <c r="R81" s="99">
        <f t="shared" si="27"/>
        <v>0</v>
      </c>
      <c r="S81" s="99">
        <f t="shared" si="28"/>
        <v>0</v>
      </c>
      <c r="T81" s="99">
        <f t="shared" si="29"/>
        <v>0</v>
      </c>
      <c r="U81" s="99">
        <f t="shared" si="30"/>
        <v>0</v>
      </c>
      <c r="V81" s="99">
        <f t="shared" si="31"/>
        <v>0</v>
      </c>
      <c r="W81" s="90"/>
      <c r="X81" s="97">
        <f t="shared" si="32"/>
        <v>0</v>
      </c>
      <c r="Y81" s="97">
        <f t="shared" si="33"/>
        <v>0</v>
      </c>
      <c r="Z81" s="97">
        <f t="shared" si="34"/>
        <v>0</v>
      </c>
      <c r="AB81" s="99">
        <v>0</v>
      </c>
      <c r="AC81" s="99">
        <f>G81*0.936104446012703</f>
        <v>0</v>
      </c>
      <c r="AD81" s="99">
        <f>G81*(1-0.936104446012703)</f>
        <v>0</v>
      </c>
      <c r="AE81" s="98">
        <v>0</v>
      </c>
      <c r="AK81" s="99">
        <f t="shared" si="35"/>
        <v>0</v>
      </c>
      <c r="AL81" s="99">
        <f t="shared" si="36"/>
        <v>0</v>
      </c>
      <c r="AM81" s="100" t="s">
        <v>833</v>
      </c>
      <c r="AN81" s="100" t="s">
        <v>757</v>
      </c>
      <c r="AO81" s="90" t="s">
        <v>758</v>
      </c>
      <c r="AQ81" s="99">
        <f t="shared" si="37"/>
        <v>0</v>
      </c>
      <c r="AR81" s="99">
        <f t="shared" si="38"/>
        <v>0</v>
      </c>
      <c r="AS81" s="99">
        <v>0</v>
      </c>
      <c r="AT81" s="99">
        <f t="shared" si="39"/>
        <v>0.06</v>
      </c>
    </row>
    <row r="82" spans="1:46" ht="25.5">
      <c r="A82" s="94" t="s">
        <v>931</v>
      </c>
      <c r="B82" s="94"/>
      <c r="C82" s="94" t="s">
        <v>932</v>
      </c>
      <c r="D82" s="95" t="s">
        <v>933</v>
      </c>
      <c r="E82" s="95" t="s">
        <v>792</v>
      </c>
      <c r="F82" s="96">
        <v>1</v>
      </c>
      <c r="G82" s="96"/>
      <c r="H82" s="97">
        <f t="shared" si="20"/>
        <v>0</v>
      </c>
      <c r="I82" s="97">
        <f t="shared" si="21"/>
        <v>0</v>
      </c>
      <c r="J82" s="97">
        <f t="shared" si="22"/>
        <v>0</v>
      </c>
      <c r="K82" s="97">
        <v>0.11</v>
      </c>
      <c r="L82" s="97">
        <f t="shared" si="23"/>
        <v>0.11</v>
      </c>
      <c r="M82" s="98"/>
      <c r="N82" s="99">
        <f t="shared" si="24"/>
        <v>0</v>
      </c>
      <c r="P82" s="99">
        <f t="shared" si="25"/>
        <v>0</v>
      </c>
      <c r="Q82" s="99">
        <f t="shared" si="26"/>
        <v>0</v>
      </c>
      <c r="R82" s="99">
        <f t="shared" si="27"/>
        <v>0</v>
      </c>
      <c r="S82" s="99">
        <f t="shared" si="28"/>
        <v>0</v>
      </c>
      <c r="T82" s="99">
        <f t="shared" si="29"/>
        <v>0</v>
      </c>
      <c r="U82" s="99">
        <f t="shared" si="30"/>
        <v>0</v>
      </c>
      <c r="V82" s="99">
        <f t="shared" si="31"/>
        <v>0</v>
      </c>
      <c r="W82" s="90"/>
      <c r="X82" s="97">
        <f t="shared" si="32"/>
        <v>0</v>
      </c>
      <c r="Y82" s="97">
        <f t="shared" si="33"/>
        <v>0</v>
      </c>
      <c r="Z82" s="97">
        <f t="shared" si="34"/>
        <v>0</v>
      </c>
      <c r="AB82" s="99">
        <v>0</v>
      </c>
      <c r="AC82" s="99">
        <f>G82*0.909090909090909</f>
        <v>0</v>
      </c>
      <c r="AD82" s="99">
        <f>G82*(1-0.909090909090909)</f>
        <v>0</v>
      </c>
      <c r="AE82" s="98">
        <v>0</v>
      </c>
      <c r="AK82" s="99">
        <f t="shared" si="35"/>
        <v>0</v>
      </c>
      <c r="AL82" s="99">
        <f t="shared" si="36"/>
        <v>0</v>
      </c>
      <c r="AM82" s="100" t="s">
        <v>833</v>
      </c>
      <c r="AN82" s="100" t="s">
        <v>757</v>
      </c>
      <c r="AO82" s="90" t="s">
        <v>758</v>
      </c>
      <c r="AQ82" s="99">
        <f t="shared" si="37"/>
        <v>0</v>
      </c>
      <c r="AR82" s="99">
        <f t="shared" si="38"/>
        <v>0</v>
      </c>
      <c r="AS82" s="99">
        <v>0</v>
      </c>
      <c r="AT82" s="99">
        <f t="shared" si="39"/>
        <v>0.11</v>
      </c>
    </row>
    <row r="83" spans="1:46">
      <c r="A83" s="94" t="s">
        <v>934</v>
      </c>
      <c r="B83" s="94"/>
      <c r="C83" s="94" t="s">
        <v>935</v>
      </c>
      <c r="D83" s="95" t="s">
        <v>936</v>
      </c>
      <c r="E83" s="95" t="s">
        <v>792</v>
      </c>
      <c r="F83" s="96">
        <v>2</v>
      </c>
      <c r="G83" s="96"/>
      <c r="H83" s="97">
        <f t="shared" si="20"/>
        <v>0</v>
      </c>
      <c r="I83" s="97">
        <f t="shared" si="21"/>
        <v>0</v>
      </c>
      <c r="J83" s="97">
        <f t="shared" si="22"/>
        <v>0</v>
      </c>
      <c r="K83" s="97">
        <v>1.1000000000000001E-3</v>
      </c>
      <c r="L83" s="97">
        <f t="shared" si="23"/>
        <v>2.2000000000000001E-3</v>
      </c>
      <c r="M83" s="98"/>
      <c r="N83" s="99">
        <f t="shared" si="24"/>
        <v>0</v>
      </c>
      <c r="P83" s="99">
        <f t="shared" si="25"/>
        <v>0</v>
      </c>
      <c r="Q83" s="99">
        <f t="shared" si="26"/>
        <v>0</v>
      </c>
      <c r="R83" s="99">
        <f t="shared" si="27"/>
        <v>0</v>
      </c>
      <c r="S83" s="99">
        <f t="shared" si="28"/>
        <v>0</v>
      </c>
      <c r="T83" s="99">
        <f t="shared" si="29"/>
        <v>0</v>
      </c>
      <c r="U83" s="99">
        <f t="shared" si="30"/>
        <v>0</v>
      </c>
      <c r="V83" s="99">
        <f t="shared" si="31"/>
        <v>0</v>
      </c>
      <c r="W83" s="90"/>
      <c r="X83" s="97">
        <f t="shared" si="32"/>
        <v>0</v>
      </c>
      <c r="Y83" s="97">
        <f t="shared" si="33"/>
        <v>0</v>
      </c>
      <c r="Z83" s="97">
        <f t="shared" si="34"/>
        <v>0</v>
      </c>
      <c r="AB83" s="99">
        <v>0</v>
      </c>
      <c r="AC83" s="99">
        <f>G83*0.777777777777778</f>
        <v>0</v>
      </c>
      <c r="AD83" s="99">
        <f>G83*(1-0.777777777777778)</f>
        <v>0</v>
      </c>
      <c r="AE83" s="98">
        <v>0</v>
      </c>
      <c r="AK83" s="99">
        <f t="shared" si="35"/>
        <v>0</v>
      </c>
      <c r="AL83" s="99">
        <f t="shared" si="36"/>
        <v>0</v>
      </c>
      <c r="AM83" s="100" t="s">
        <v>833</v>
      </c>
      <c r="AN83" s="100" t="s">
        <v>757</v>
      </c>
      <c r="AO83" s="90" t="s">
        <v>758</v>
      </c>
      <c r="AQ83" s="99">
        <f t="shared" si="37"/>
        <v>0</v>
      </c>
      <c r="AR83" s="99">
        <f t="shared" si="38"/>
        <v>0</v>
      </c>
      <c r="AS83" s="99">
        <v>0</v>
      </c>
      <c r="AT83" s="99">
        <f t="shared" si="39"/>
        <v>2.2000000000000001E-3</v>
      </c>
    </row>
    <row r="84" spans="1:46">
      <c r="A84" s="94" t="s">
        <v>937</v>
      </c>
      <c r="B84" s="94"/>
      <c r="C84" s="94" t="s">
        <v>938</v>
      </c>
      <c r="D84" s="95" t="s">
        <v>939</v>
      </c>
      <c r="E84" s="95" t="s">
        <v>792</v>
      </c>
      <c r="F84" s="96">
        <v>1</v>
      </c>
      <c r="G84" s="96"/>
      <c r="H84" s="97">
        <f t="shared" si="20"/>
        <v>0</v>
      </c>
      <c r="I84" s="97">
        <f t="shared" si="21"/>
        <v>0</v>
      </c>
      <c r="J84" s="97">
        <f t="shared" si="22"/>
        <v>0</v>
      </c>
      <c r="K84" s="97">
        <v>0</v>
      </c>
      <c r="L84" s="97">
        <f t="shared" si="23"/>
        <v>0</v>
      </c>
      <c r="M84" s="98"/>
      <c r="N84" s="99">
        <f t="shared" si="24"/>
        <v>0</v>
      </c>
      <c r="P84" s="99">
        <f t="shared" si="25"/>
        <v>0</v>
      </c>
      <c r="Q84" s="99">
        <f t="shared" si="26"/>
        <v>0</v>
      </c>
      <c r="R84" s="99">
        <f t="shared" si="27"/>
        <v>0</v>
      </c>
      <c r="S84" s="99">
        <f t="shared" si="28"/>
        <v>0</v>
      </c>
      <c r="T84" s="99">
        <f t="shared" si="29"/>
        <v>0</v>
      </c>
      <c r="U84" s="99">
        <f t="shared" si="30"/>
        <v>0</v>
      </c>
      <c r="V84" s="99">
        <f t="shared" si="31"/>
        <v>0</v>
      </c>
      <c r="W84" s="90"/>
      <c r="X84" s="97">
        <f t="shared" si="32"/>
        <v>0</v>
      </c>
      <c r="Y84" s="97">
        <f t="shared" si="33"/>
        <v>0</v>
      </c>
      <c r="Z84" s="97">
        <f t="shared" si="34"/>
        <v>0</v>
      </c>
      <c r="AB84" s="99">
        <v>0</v>
      </c>
      <c r="AC84" s="99">
        <f>G84*0.935897435897436</f>
        <v>0</v>
      </c>
      <c r="AD84" s="99">
        <f>G84*(1-0.935897435897436)</f>
        <v>0</v>
      </c>
      <c r="AE84" s="98">
        <v>0</v>
      </c>
      <c r="AK84" s="99">
        <f t="shared" si="35"/>
        <v>0</v>
      </c>
      <c r="AL84" s="99">
        <f t="shared" si="36"/>
        <v>0</v>
      </c>
      <c r="AM84" s="100" t="s">
        <v>833</v>
      </c>
      <c r="AN84" s="100" t="s">
        <v>757</v>
      </c>
      <c r="AO84" s="90" t="s">
        <v>758</v>
      </c>
      <c r="AQ84" s="99">
        <f t="shared" si="37"/>
        <v>0</v>
      </c>
      <c r="AR84" s="99">
        <f t="shared" si="38"/>
        <v>0</v>
      </c>
      <c r="AS84" s="99">
        <v>0</v>
      </c>
      <c r="AT84" s="99">
        <f t="shared" si="39"/>
        <v>0</v>
      </c>
    </row>
    <row r="85" spans="1:46" ht="25.5">
      <c r="A85" s="94" t="s">
        <v>940</v>
      </c>
      <c r="B85" s="94"/>
      <c r="C85" s="94" t="s">
        <v>941</v>
      </c>
      <c r="D85" s="95" t="s">
        <v>942</v>
      </c>
      <c r="E85" s="95" t="s">
        <v>792</v>
      </c>
      <c r="F85" s="96">
        <v>2</v>
      </c>
      <c r="G85" s="96"/>
      <c r="H85" s="97">
        <f t="shared" si="20"/>
        <v>0</v>
      </c>
      <c r="I85" s="97">
        <f t="shared" si="21"/>
        <v>0</v>
      </c>
      <c r="J85" s="97">
        <f t="shared" si="22"/>
        <v>0</v>
      </c>
      <c r="K85" s="97">
        <v>0</v>
      </c>
      <c r="L85" s="97">
        <f t="shared" si="23"/>
        <v>0</v>
      </c>
      <c r="M85" s="98"/>
      <c r="N85" s="99">
        <f t="shared" si="24"/>
        <v>0</v>
      </c>
      <c r="P85" s="99">
        <f t="shared" si="25"/>
        <v>0</v>
      </c>
      <c r="Q85" s="99">
        <f t="shared" si="26"/>
        <v>0</v>
      </c>
      <c r="R85" s="99">
        <f t="shared" si="27"/>
        <v>0</v>
      </c>
      <c r="S85" s="99">
        <f t="shared" si="28"/>
        <v>0</v>
      </c>
      <c r="T85" s="99">
        <f t="shared" si="29"/>
        <v>0</v>
      </c>
      <c r="U85" s="99">
        <f t="shared" si="30"/>
        <v>0</v>
      </c>
      <c r="V85" s="99">
        <f t="shared" si="31"/>
        <v>0</v>
      </c>
      <c r="W85" s="90"/>
      <c r="X85" s="97">
        <f t="shared" si="32"/>
        <v>0</v>
      </c>
      <c r="Y85" s="97">
        <f t="shared" si="33"/>
        <v>0</v>
      </c>
      <c r="Z85" s="97">
        <f t="shared" si="34"/>
        <v>0</v>
      </c>
      <c r="AB85" s="99">
        <v>0</v>
      </c>
      <c r="AC85" s="99">
        <f>G85*0.588235294117647</f>
        <v>0</v>
      </c>
      <c r="AD85" s="99">
        <f>G85*(1-0.588235294117647)</f>
        <v>0</v>
      </c>
      <c r="AE85" s="98">
        <v>0</v>
      </c>
      <c r="AK85" s="99">
        <f t="shared" si="35"/>
        <v>0</v>
      </c>
      <c r="AL85" s="99">
        <f t="shared" si="36"/>
        <v>0</v>
      </c>
      <c r="AM85" s="100" t="s">
        <v>833</v>
      </c>
      <c r="AN85" s="100" t="s">
        <v>757</v>
      </c>
      <c r="AO85" s="90" t="s">
        <v>758</v>
      </c>
      <c r="AQ85" s="99">
        <f t="shared" si="37"/>
        <v>0</v>
      </c>
      <c r="AR85" s="99">
        <f t="shared" si="38"/>
        <v>0</v>
      </c>
      <c r="AS85" s="99">
        <v>0</v>
      </c>
      <c r="AT85" s="99">
        <f t="shared" si="39"/>
        <v>0</v>
      </c>
    </row>
    <row r="86" spans="1:46" ht="25.5">
      <c r="A86" s="94" t="s">
        <v>943</v>
      </c>
      <c r="B86" s="94"/>
      <c r="C86" s="94" t="s">
        <v>944</v>
      </c>
      <c r="D86" s="95" t="s">
        <v>945</v>
      </c>
      <c r="E86" s="95" t="s">
        <v>813</v>
      </c>
      <c r="F86" s="96">
        <v>10</v>
      </c>
      <c r="G86" s="96"/>
      <c r="H86" s="97">
        <f t="shared" si="20"/>
        <v>0</v>
      </c>
      <c r="I86" s="97">
        <f t="shared" si="21"/>
        <v>0</v>
      </c>
      <c r="J86" s="97">
        <f t="shared" si="22"/>
        <v>0</v>
      </c>
      <c r="K86" s="97">
        <v>0</v>
      </c>
      <c r="L86" s="97">
        <f t="shared" si="23"/>
        <v>0</v>
      </c>
      <c r="M86" s="98"/>
      <c r="N86" s="99">
        <f t="shared" si="24"/>
        <v>0</v>
      </c>
      <c r="P86" s="99">
        <f t="shared" si="25"/>
        <v>0</v>
      </c>
      <c r="Q86" s="99">
        <f t="shared" si="26"/>
        <v>0</v>
      </c>
      <c r="R86" s="99">
        <f t="shared" si="27"/>
        <v>0</v>
      </c>
      <c r="S86" s="99">
        <f t="shared" si="28"/>
        <v>0</v>
      </c>
      <c r="T86" s="99">
        <f t="shared" si="29"/>
        <v>0</v>
      </c>
      <c r="U86" s="99">
        <f t="shared" si="30"/>
        <v>0</v>
      </c>
      <c r="V86" s="99">
        <f t="shared" si="31"/>
        <v>0</v>
      </c>
      <c r="W86" s="90"/>
      <c r="X86" s="97">
        <f t="shared" si="32"/>
        <v>0</v>
      </c>
      <c r="Y86" s="97">
        <f t="shared" si="33"/>
        <v>0</v>
      </c>
      <c r="Z86" s="97">
        <f t="shared" si="34"/>
        <v>0</v>
      </c>
      <c r="AB86" s="99">
        <v>0</v>
      </c>
      <c r="AC86" s="99">
        <f>G86*0</f>
        <v>0</v>
      </c>
      <c r="AD86" s="99">
        <f>G86*(1-0)</f>
        <v>0</v>
      </c>
      <c r="AE86" s="98">
        <v>0</v>
      </c>
      <c r="AK86" s="99">
        <f t="shared" si="35"/>
        <v>0</v>
      </c>
      <c r="AL86" s="99">
        <f t="shared" si="36"/>
        <v>0</v>
      </c>
      <c r="AM86" s="100" t="s">
        <v>833</v>
      </c>
      <c r="AN86" s="100" t="s">
        <v>757</v>
      </c>
      <c r="AO86" s="90" t="s">
        <v>758</v>
      </c>
      <c r="AQ86" s="99">
        <f t="shared" si="37"/>
        <v>0</v>
      </c>
      <c r="AR86" s="99">
        <f t="shared" si="38"/>
        <v>0</v>
      </c>
      <c r="AS86" s="99">
        <v>0</v>
      </c>
      <c r="AT86" s="99">
        <f t="shared" si="39"/>
        <v>0</v>
      </c>
    </row>
    <row r="87" spans="1:46">
      <c r="A87" s="94" t="s">
        <v>946</v>
      </c>
      <c r="B87" s="94"/>
      <c r="C87" s="94" t="s">
        <v>947</v>
      </c>
      <c r="D87" s="95" t="s">
        <v>948</v>
      </c>
      <c r="E87" s="95" t="s">
        <v>62</v>
      </c>
      <c r="F87" s="96">
        <v>180</v>
      </c>
      <c r="G87" s="96"/>
      <c r="H87" s="97">
        <f t="shared" si="20"/>
        <v>0</v>
      </c>
      <c r="I87" s="97">
        <f t="shared" si="21"/>
        <v>0</v>
      </c>
      <c r="J87" s="97">
        <f t="shared" si="22"/>
        <v>0</v>
      </c>
      <c r="K87" s="97">
        <v>1.0000000000000001E-5</v>
      </c>
      <c r="L87" s="97">
        <f t="shared" si="23"/>
        <v>1.8000000000000002E-3</v>
      </c>
      <c r="M87" s="98" t="s">
        <v>755</v>
      </c>
      <c r="N87" s="99">
        <f t="shared" si="24"/>
        <v>0</v>
      </c>
      <c r="P87" s="99">
        <f t="shared" si="25"/>
        <v>0</v>
      </c>
      <c r="Q87" s="99">
        <f t="shared" si="26"/>
        <v>0</v>
      </c>
      <c r="R87" s="99">
        <f t="shared" si="27"/>
        <v>0</v>
      </c>
      <c r="S87" s="99">
        <f t="shared" si="28"/>
        <v>0</v>
      </c>
      <c r="T87" s="99">
        <f t="shared" si="29"/>
        <v>0</v>
      </c>
      <c r="U87" s="99">
        <f t="shared" si="30"/>
        <v>0</v>
      </c>
      <c r="V87" s="99">
        <f t="shared" si="31"/>
        <v>0</v>
      </c>
      <c r="W87" s="90"/>
      <c r="X87" s="97">
        <f t="shared" si="32"/>
        <v>0</v>
      </c>
      <c r="Y87" s="97">
        <f t="shared" si="33"/>
        <v>0</v>
      </c>
      <c r="Z87" s="97">
        <f t="shared" si="34"/>
        <v>0</v>
      </c>
      <c r="AB87" s="99">
        <v>0</v>
      </c>
      <c r="AC87" s="99">
        <f>G87*0.0671607225567392</f>
        <v>0</v>
      </c>
      <c r="AD87" s="99">
        <f>G87*(1-0.0671607225567392)</f>
        <v>0</v>
      </c>
      <c r="AE87" s="98">
        <v>0</v>
      </c>
      <c r="AK87" s="99">
        <f t="shared" si="35"/>
        <v>0</v>
      </c>
      <c r="AL87" s="99">
        <f t="shared" si="36"/>
        <v>0</v>
      </c>
      <c r="AM87" s="100" t="s">
        <v>833</v>
      </c>
      <c r="AN87" s="100" t="s">
        <v>757</v>
      </c>
      <c r="AO87" s="90" t="s">
        <v>758</v>
      </c>
      <c r="AQ87" s="99">
        <f t="shared" si="37"/>
        <v>0</v>
      </c>
      <c r="AR87" s="99">
        <f t="shared" si="38"/>
        <v>0</v>
      </c>
      <c r="AS87" s="99">
        <v>0</v>
      </c>
      <c r="AT87" s="99">
        <f t="shared" si="39"/>
        <v>1.8000000000000002E-3</v>
      </c>
    </row>
    <row r="88" spans="1:46">
      <c r="D88" s="101" t="s">
        <v>949</v>
      </c>
      <c r="E88" s="102"/>
      <c r="F88" s="103">
        <v>180</v>
      </c>
      <c r="G88" s="102"/>
    </row>
    <row r="89" spans="1:46">
      <c r="A89" s="94" t="s">
        <v>950</v>
      </c>
      <c r="B89" s="94"/>
      <c r="C89" s="94" t="s">
        <v>951</v>
      </c>
      <c r="D89" s="95" t="s">
        <v>952</v>
      </c>
      <c r="E89" s="95" t="s">
        <v>62</v>
      </c>
      <c r="F89" s="96">
        <v>180</v>
      </c>
      <c r="G89" s="96"/>
      <c r="H89" s="97">
        <f>F89*AC89</f>
        <v>0</v>
      </c>
      <c r="I89" s="97">
        <f>J89-H89</f>
        <v>0</v>
      </c>
      <c r="J89" s="97">
        <f>F89*G89</f>
        <v>0</v>
      </c>
      <c r="K89" s="97">
        <v>1.8000000000000001E-4</v>
      </c>
      <c r="L89" s="97">
        <f>F89*K89</f>
        <v>3.2400000000000005E-2</v>
      </c>
      <c r="M89" s="98" t="s">
        <v>755</v>
      </c>
      <c r="N89" s="99">
        <f>IF(AE89="5",J89,0)</f>
        <v>0</v>
      </c>
      <c r="P89" s="99">
        <f>IF(AE89="1",H89,0)</f>
        <v>0</v>
      </c>
      <c r="Q89" s="99">
        <f>IF(AE89="1",I89,0)</f>
        <v>0</v>
      </c>
      <c r="R89" s="99">
        <f>IF(AE89="7",H89,0)</f>
        <v>0</v>
      </c>
      <c r="S89" s="99">
        <f>IF(AE89="7",I89,0)</f>
        <v>0</v>
      </c>
      <c r="T89" s="99">
        <f>IF(AE89="2",H89,0)</f>
        <v>0</v>
      </c>
      <c r="U89" s="99">
        <f>IF(AE89="2",I89,0)</f>
        <v>0</v>
      </c>
      <c r="V89" s="99">
        <f>IF(AE89="0",J89,0)</f>
        <v>0</v>
      </c>
      <c r="W89" s="90"/>
      <c r="X89" s="97">
        <f>IF(AB89=0,J89,0)</f>
        <v>0</v>
      </c>
      <c r="Y89" s="97">
        <f>IF(AB89=15,J89,0)</f>
        <v>0</v>
      </c>
      <c r="Z89" s="97">
        <f>IF(AB89=21,J89,0)</f>
        <v>0</v>
      </c>
      <c r="AB89" s="99">
        <v>0</v>
      </c>
      <c r="AC89" s="99">
        <f>G89*0.235834124723014</f>
        <v>0</v>
      </c>
      <c r="AD89" s="99">
        <f>G89*(1-0.235834124723014)</f>
        <v>0</v>
      </c>
      <c r="AE89" s="98">
        <v>0</v>
      </c>
      <c r="AK89" s="99">
        <f>F89*AC89</f>
        <v>0</v>
      </c>
      <c r="AL89" s="99">
        <f>F89*AD89</f>
        <v>0</v>
      </c>
      <c r="AM89" s="100" t="s">
        <v>833</v>
      </c>
      <c r="AN89" s="100" t="s">
        <v>757</v>
      </c>
      <c r="AO89" s="90" t="s">
        <v>758</v>
      </c>
      <c r="AQ89" s="99">
        <f>AK89+AL89</f>
        <v>0</v>
      </c>
      <c r="AR89" s="99">
        <f>G89/(100-AS89)*100</f>
        <v>0</v>
      </c>
      <c r="AS89" s="99">
        <v>0</v>
      </c>
      <c r="AT89" s="99">
        <f>L89</f>
        <v>3.2400000000000005E-2</v>
      </c>
    </row>
    <row r="90" spans="1:46">
      <c r="D90" s="101" t="s">
        <v>949</v>
      </c>
      <c r="E90" s="102"/>
      <c r="F90" s="103">
        <v>180</v>
      </c>
      <c r="G90" s="102"/>
    </row>
    <row r="91" spans="1:46">
      <c r="A91" s="91"/>
      <c r="B91" s="92"/>
      <c r="C91" s="92" t="s">
        <v>953</v>
      </c>
      <c r="D91" s="361" t="s">
        <v>954</v>
      </c>
      <c r="E91" s="362"/>
      <c r="F91" s="362"/>
      <c r="G91" s="362"/>
      <c r="H91" s="93">
        <f>SUM(H92:H121)</f>
        <v>0</v>
      </c>
      <c r="I91" s="93">
        <f>SUM(I92:I121)</f>
        <v>0</v>
      </c>
      <c r="J91" s="93">
        <f>H91+I91</f>
        <v>0</v>
      </c>
      <c r="K91" s="90"/>
      <c r="L91" s="93">
        <f>SUM(L92:L121)</f>
        <v>1.2000099999999998</v>
      </c>
      <c r="M91" s="90"/>
      <c r="W91" s="90"/>
      <c r="AG91" s="93">
        <f>SUM(X92:X121)</f>
        <v>0</v>
      </c>
      <c r="AH91" s="93">
        <f>SUM(Y92:Y121)</f>
        <v>0</v>
      </c>
      <c r="AI91" s="93">
        <f>SUM(Z92:Z121)</f>
        <v>0</v>
      </c>
    </row>
    <row r="92" spans="1:46" ht="38.25">
      <c r="A92" s="94" t="s">
        <v>955</v>
      </c>
      <c r="B92" s="94"/>
      <c r="C92" s="94" t="s">
        <v>956</v>
      </c>
      <c r="D92" s="95" t="s">
        <v>957</v>
      </c>
      <c r="E92" s="95" t="s">
        <v>958</v>
      </c>
      <c r="F92" s="96">
        <v>4</v>
      </c>
      <c r="G92" s="96"/>
      <c r="H92" s="97">
        <f t="shared" ref="H92:H121" si="40">F92*AC92</f>
        <v>0</v>
      </c>
      <c r="I92" s="97">
        <f t="shared" ref="I92:I121" si="41">J92-H92</f>
        <v>0</v>
      </c>
      <c r="J92" s="97">
        <f t="shared" ref="J92:J121" si="42">F92*G92</f>
        <v>0</v>
      </c>
      <c r="K92" s="97">
        <v>1.772E-2</v>
      </c>
      <c r="L92" s="97">
        <f t="shared" ref="L92:L121" si="43">F92*K92</f>
        <v>7.0879999999999999E-2</v>
      </c>
      <c r="M92" s="98" t="s">
        <v>755</v>
      </c>
      <c r="N92" s="99">
        <f t="shared" ref="N92:N121" si="44">IF(AE92="5",J92,0)</f>
        <v>0</v>
      </c>
      <c r="P92" s="99">
        <f t="shared" ref="P92:P121" si="45">IF(AE92="1",H92,0)</f>
        <v>0</v>
      </c>
      <c r="Q92" s="99">
        <f t="shared" ref="Q92:Q121" si="46">IF(AE92="1",I92,0)</f>
        <v>0</v>
      </c>
      <c r="R92" s="99">
        <f t="shared" ref="R92:R121" si="47">IF(AE92="7",H92,0)</f>
        <v>0</v>
      </c>
      <c r="S92" s="99">
        <f t="shared" ref="S92:S121" si="48">IF(AE92="7",I92,0)</f>
        <v>0</v>
      </c>
      <c r="T92" s="99">
        <f t="shared" ref="T92:T121" si="49">IF(AE92="2",H92,0)</f>
        <v>0</v>
      </c>
      <c r="U92" s="99">
        <f t="shared" ref="U92:U121" si="50">IF(AE92="2",I92,0)</f>
        <v>0</v>
      </c>
      <c r="V92" s="99">
        <f t="shared" ref="V92:V121" si="51">IF(AE92="0",J92,0)</f>
        <v>0</v>
      </c>
      <c r="W92" s="90"/>
      <c r="X92" s="97">
        <f t="shared" ref="X92:X121" si="52">IF(AB92=0,J92,0)</f>
        <v>0</v>
      </c>
      <c r="Y92" s="97">
        <f t="shared" ref="Y92:Y121" si="53">IF(AB92=15,J92,0)</f>
        <v>0</v>
      </c>
      <c r="Z92" s="97">
        <f t="shared" ref="Z92:Z121" si="54">IF(AB92=21,J92,0)</f>
        <v>0</v>
      </c>
      <c r="AB92" s="99">
        <v>0</v>
      </c>
      <c r="AC92" s="99">
        <f>G92*0.893902654867257</f>
        <v>0</v>
      </c>
      <c r="AD92" s="99">
        <f>G92*(1-0.893902654867257)</f>
        <v>0</v>
      </c>
      <c r="AE92" s="98">
        <v>0</v>
      </c>
      <c r="AK92" s="99">
        <f t="shared" ref="AK92:AK121" si="55">F92*AC92</f>
        <v>0</v>
      </c>
      <c r="AL92" s="99">
        <f t="shared" ref="AL92:AL121" si="56">F92*AD92</f>
        <v>0</v>
      </c>
      <c r="AM92" s="100" t="s">
        <v>959</v>
      </c>
      <c r="AN92" s="100" t="s">
        <v>757</v>
      </c>
      <c r="AO92" s="90" t="s">
        <v>758</v>
      </c>
      <c r="AQ92" s="99">
        <f t="shared" ref="AQ92:AQ121" si="57">AK92+AL92</f>
        <v>0</v>
      </c>
      <c r="AR92" s="99">
        <f t="shared" ref="AR92:AR121" si="58">G92/(100-AS92)*100</f>
        <v>0</v>
      </c>
      <c r="AS92" s="99">
        <v>0</v>
      </c>
      <c r="AT92" s="99">
        <f t="shared" ref="AT92:AT121" si="59">L92</f>
        <v>7.0879999999999999E-2</v>
      </c>
    </row>
    <row r="93" spans="1:46">
      <c r="A93" s="94" t="s">
        <v>960</v>
      </c>
      <c r="B93" s="94"/>
      <c r="C93" s="94" t="s">
        <v>961</v>
      </c>
      <c r="D93" s="95" t="s">
        <v>962</v>
      </c>
      <c r="E93" s="95" t="s">
        <v>792</v>
      </c>
      <c r="F93" s="96">
        <v>4</v>
      </c>
      <c r="G93" s="96"/>
      <c r="H93" s="97">
        <f t="shared" si="40"/>
        <v>0</v>
      </c>
      <c r="I93" s="97">
        <f t="shared" si="41"/>
        <v>0</v>
      </c>
      <c r="J93" s="97">
        <f t="shared" si="42"/>
        <v>0</v>
      </c>
      <c r="K93" s="97">
        <v>2.0000000000000001E-4</v>
      </c>
      <c r="L93" s="97">
        <f t="shared" si="43"/>
        <v>8.0000000000000004E-4</v>
      </c>
      <c r="M93" s="98"/>
      <c r="N93" s="99">
        <f t="shared" si="44"/>
        <v>0</v>
      </c>
      <c r="P93" s="99">
        <f t="shared" si="45"/>
        <v>0</v>
      </c>
      <c r="Q93" s="99">
        <f t="shared" si="46"/>
        <v>0</v>
      </c>
      <c r="R93" s="99">
        <f t="shared" si="47"/>
        <v>0</v>
      </c>
      <c r="S93" s="99">
        <f t="shared" si="48"/>
        <v>0</v>
      </c>
      <c r="T93" s="99">
        <f t="shared" si="49"/>
        <v>0</v>
      </c>
      <c r="U93" s="99">
        <f t="shared" si="50"/>
        <v>0</v>
      </c>
      <c r="V93" s="99">
        <f t="shared" si="51"/>
        <v>0</v>
      </c>
      <c r="W93" s="90"/>
      <c r="X93" s="97">
        <f t="shared" si="52"/>
        <v>0</v>
      </c>
      <c r="Y93" s="97">
        <f t="shared" si="53"/>
        <v>0</v>
      </c>
      <c r="Z93" s="97">
        <f t="shared" si="54"/>
        <v>0</v>
      </c>
      <c r="AB93" s="99">
        <v>0</v>
      </c>
      <c r="AC93" s="99">
        <f>G93*0.923076923076923</f>
        <v>0</v>
      </c>
      <c r="AD93" s="99">
        <f>G93*(1-0.923076923076923)</f>
        <v>0</v>
      </c>
      <c r="AE93" s="98">
        <v>0</v>
      </c>
      <c r="AK93" s="99">
        <f t="shared" si="55"/>
        <v>0</v>
      </c>
      <c r="AL93" s="99">
        <f t="shared" si="56"/>
        <v>0</v>
      </c>
      <c r="AM93" s="100" t="s">
        <v>959</v>
      </c>
      <c r="AN93" s="100" t="s">
        <v>757</v>
      </c>
      <c r="AO93" s="90" t="s">
        <v>758</v>
      </c>
      <c r="AQ93" s="99">
        <f t="shared" si="57"/>
        <v>0</v>
      </c>
      <c r="AR93" s="99">
        <f t="shared" si="58"/>
        <v>0</v>
      </c>
      <c r="AS93" s="99">
        <v>0</v>
      </c>
      <c r="AT93" s="99">
        <f t="shared" si="59"/>
        <v>8.0000000000000004E-4</v>
      </c>
    </row>
    <row r="94" spans="1:46">
      <c r="A94" s="94" t="s">
        <v>963</v>
      </c>
      <c r="B94" s="94"/>
      <c r="C94" s="94" t="s">
        <v>964</v>
      </c>
      <c r="D94" s="95" t="s">
        <v>965</v>
      </c>
      <c r="E94" s="95" t="s">
        <v>958</v>
      </c>
      <c r="F94" s="96">
        <v>1</v>
      </c>
      <c r="G94" s="96"/>
      <c r="H94" s="97">
        <f t="shared" si="40"/>
        <v>0</v>
      </c>
      <c r="I94" s="97">
        <f t="shared" si="41"/>
        <v>0</v>
      </c>
      <c r="J94" s="97">
        <f t="shared" si="42"/>
        <v>0</v>
      </c>
      <c r="K94" s="97">
        <v>1.8890000000000001E-2</v>
      </c>
      <c r="L94" s="97">
        <f t="shared" si="43"/>
        <v>1.8890000000000001E-2</v>
      </c>
      <c r="M94" s="98" t="s">
        <v>755</v>
      </c>
      <c r="N94" s="99">
        <f t="shared" si="44"/>
        <v>0</v>
      </c>
      <c r="P94" s="99">
        <f t="shared" si="45"/>
        <v>0</v>
      </c>
      <c r="Q94" s="99">
        <f t="shared" si="46"/>
        <v>0</v>
      </c>
      <c r="R94" s="99">
        <f t="shared" si="47"/>
        <v>0</v>
      </c>
      <c r="S94" s="99">
        <f t="shared" si="48"/>
        <v>0</v>
      </c>
      <c r="T94" s="99">
        <f t="shared" si="49"/>
        <v>0</v>
      </c>
      <c r="U94" s="99">
        <f t="shared" si="50"/>
        <v>0</v>
      </c>
      <c r="V94" s="99">
        <f t="shared" si="51"/>
        <v>0</v>
      </c>
      <c r="W94" s="90"/>
      <c r="X94" s="97">
        <f t="shared" si="52"/>
        <v>0</v>
      </c>
      <c r="Y94" s="97">
        <f t="shared" si="53"/>
        <v>0</v>
      </c>
      <c r="Z94" s="97">
        <f t="shared" si="54"/>
        <v>0</v>
      </c>
      <c r="AB94" s="99">
        <v>0</v>
      </c>
      <c r="AC94" s="99">
        <f>G94*0.92428</f>
        <v>0</v>
      </c>
      <c r="AD94" s="99">
        <f>G94*(1-0.92428)</f>
        <v>0</v>
      </c>
      <c r="AE94" s="98">
        <v>0</v>
      </c>
      <c r="AK94" s="99">
        <f t="shared" si="55"/>
        <v>0</v>
      </c>
      <c r="AL94" s="99">
        <f t="shared" si="56"/>
        <v>0</v>
      </c>
      <c r="AM94" s="100" t="s">
        <v>959</v>
      </c>
      <c r="AN94" s="100" t="s">
        <v>757</v>
      </c>
      <c r="AO94" s="90" t="s">
        <v>758</v>
      </c>
      <c r="AQ94" s="99">
        <f t="shared" si="57"/>
        <v>0</v>
      </c>
      <c r="AR94" s="99">
        <f t="shared" si="58"/>
        <v>0</v>
      </c>
      <c r="AS94" s="99">
        <v>0</v>
      </c>
      <c r="AT94" s="99">
        <f t="shared" si="59"/>
        <v>1.8890000000000001E-2</v>
      </c>
    </row>
    <row r="95" spans="1:46" ht="25.5">
      <c r="A95" s="94" t="s">
        <v>966</v>
      </c>
      <c r="B95" s="94"/>
      <c r="C95" s="94" t="s">
        <v>967</v>
      </c>
      <c r="D95" s="95" t="s">
        <v>968</v>
      </c>
      <c r="E95" s="95" t="s">
        <v>792</v>
      </c>
      <c r="F95" s="96">
        <v>1</v>
      </c>
      <c r="G95" s="96"/>
      <c r="H95" s="97">
        <f t="shared" si="40"/>
        <v>0</v>
      </c>
      <c r="I95" s="97">
        <f t="shared" si="41"/>
        <v>0</v>
      </c>
      <c r="J95" s="97">
        <f t="shared" si="42"/>
        <v>0</v>
      </c>
      <c r="K95" s="97">
        <v>1E-3</v>
      </c>
      <c r="L95" s="97">
        <f t="shared" si="43"/>
        <v>1E-3</v>
      </c>
      <c r="M95" s="98"/>
      <c r="N95" s="99">
        <f t="shared" si="44"/>
        <v>0</v>
      </c>
      <c r="P95" s="99">
        <f t="shared" si="45"/>
        <v>0</v>
      </c>
      <c r="Q95" s="99">
        <f t="shared" si="46"/>
        <v>0</v>
      </c>
      <c r="R95" s="99">
        <f t="shared" si="47"/>
        <v>0</v>
      </c>
      <c r="S95" s="99">
        <f t="shared" si="48"/>
        <v>0</v>
      </c>
      <c r="T95" s="99">
        <f t="shared" si="49"/>
        <v>0</v>
      </c>
      <c r="U95" s="99">
        <f t="shared" si="50"/>
        <v>0</v>
      </c>
      <c r="V95" s="99">
        <f t="shared" si="51"/>
        <v>0</v>
      </c>
      <c r="W95" s="90"/>
      <c r="X95" s="97">
        <f t="shared" si="52"/>
        <v>0</v>
      </c>
      <c r="Y95" s="97">
        <f t="shared" si="53"/>
        <v>0</v>
      </c>
      <c r="Z95" s="97">
        <f t="shared" si="54"/>
        <v>0</v>
      </c>
      <c r="AB95" s="99">
        <v>0</v>
      </c>
      <c r="AC95" s="99">
        <f>G95*0.864864864864865</f>
        <v>0</v>
      </c>
      <c r="AD95" s="99">
        <f>G95*(1-0.864864864864865)</f>
        <v>0</v>
      </c>
      <c r="AE95" s="98">
        <v>0</v>
      </c>
      <c r="AK95" s="99">
        <f t="shared" si="55"/>
        <v>0</v>
      </c>
      <c r="AL95" s="99">
        <f t="shared" si="56"/>
        <v>0</v>
      </c>
      <c r="AM95" s="100" t="s">
        <v>959</v>
      </c>
      <c r="AN95" s="100" t="s">
        <v>757</v>
      </c>
      <c r="AO95" s="90" t="s">
        <v>758</v>
      </c>
      <c r="AQ95" s="99">
        <f t="shared" si="57"/>
        <v>0</v>
      </c>
      <c r="AR95" s="99">
        <f t="shared" si="58"/>
        <v>0</v>
      </c>
      <c r="AS95" s="99">
        <v>0</v>
      </c>
      <c r="AT95" s="99">
        <f t="shared" si="59"/>
        <v>1E-3</v>
      </c>
    </row>
    <row r="96" spans="1:46" ht="25.5">
      <c r="A96" s="94" t="s">
        <v>969</v>
      </c>
      <c r="B96" s="94"/>
      <c r="C96" s="94" t="s">
        <v>970</v>
      </c>
      <c r="D96" s="95" t="s">
        <v>971</v>
      </c>
      <c r="E96" s="95" t="s">
        <v>792</v>
      </c>
      <c r="F96" s="96">
        <v>4</v>
      </c>
      <c r="G96" s="96"/>
      <c r="H96" s="97">
        <f t="shared" si="40"/>
        <v>0</v>
      </c>
      <c r="I96" s="97">
        <f t="shared" si="41"/>
        <v>0</v>
      </c>
      <c r="J96" s="97">
        <f t="shared" si="42"/>
        <v>0</v>
      </c>
      <c r="K96" s="97">
        <v>1.4E-2</v>
      </c>
      <c r="L96" s="97">
        <f t="shared" si="43"/>
        <v>5.6000000000000001E-2</v>
      </c>
      <c r="M96" s="98"/>
      <c r="N96" s="99">
        <f t="shared" si="44"/>
        <v>0</v>
      </c>
      <c r="P96" s="99">
        <f t="shared" si="45"/>
        <v>0</v>
      </c>
      <c r="Q96" s="99">
        <f t="shared" si="46"/>
        <v>0</v>
      </c>
      <c r="R96" s="99">
        <f t="shared" si="47"/>
        <v>0</v>
      </c>
      <c r="S96" s="99">
        <f t="shared" si="48"/>
        <v>0</v>
      </c>
      <c r="T96" s="99">
        <f t="shared" si="49"/>
        <v>0</v>
      </c>
      <c r="U96" s="99">
        <f t="shared" si="50"/>
        <v>0</v>
      </c>
      <c r="V96" s="99">
        <f t="shared" si="51"/>
        <v>0</v>
      </c>
      <c r="W96" s="90"/>
      <c r="X96" s="97">
        <f t="shared" si="52"/>
        <v>0</v>
      </c>
      <c r="Y96" s="97">
        <f t="shared" si="53"/>
        <v>0</v>
      </c>
      <c r="Z96" s="97">
        <f t="shared" si="54"/>
        <v>0</v>
      </c>
      <c r="AB96" s="99">
        <v>0</v>
      </c>
      <c r="AC96" s="99">
        <f>G96*0.910714285714286</f>
        <v>0</v>
      </c>
      <c r="AD96" s="99">
        <f>G96*(1-0.910714285714286)</f>
        <v>0</v>
      </c>
      <c r="AE96" s="98">
        <v>0</v>
      </c>
      <c r="AK96" s="99">
        <f t="shared" si="55"/>
        <v>0</v>
      </c>
      <c r="AL96" s="99">
        <f t="shared" si="56"/>
        <v>0</v>
      </c>
      <c r="AM96" s="100" t="s">
        <v>959</v>
      </c>
      <c r="AN96" s="100" t="s">
        <v>757</v>
      </c>
      <c r="AO96" s="90" t="s">
        <v>758</v>
      </c>
      <c r="AQ96" s="99">
        <f t="shared" si="57"/>
        <v>0</v>
      </c>
      <c r="AR96" s="99">
        <f t="shared" si="58"/>
        <v>0</v>
      </c>
      <c r="AS96" s="99">
        <v>0</v>
      </c>
      <c r="AT96" s="99">
        <f t="shared" si="59"/>
        <v>5.6000000000000001E-2</v>
      </c>
    </row>
    <row r="97" spans="1:46" ht="25.5">
      <c r="A97" s="94" t="s">
        <v>972</v>
      </c>
      <c r="B97" s="94"/>
      <c r="C97" s="94" t="s">
        <v>961</v>
      </c>
      <c r="D97" s="95" t="s">
        <v>973</v>
      </c>
      <c r="E97" s="95" t="s">
        <v>792</v>
      </c>
      <c r="F97" s="96">
        <v>4</v>
      </c>
      <c r="G97" s="96"/>
      <c r="H97" s="97">
        <f t="shared" si="40"/>
        <v>0</v>
      </c>
      <c r="I97" s="97">
        <f t="shared" si="41"/>
        <v>0</v>
      </c>
      <c r="J97" s="97">
        <f t="shared" si="42"/>
        <v>0</v>
      </c>
      <c r="K97" s="97">
        <v>2.0000000000000001E-4</v>
      </c>
      <c r="L97" s="97">
        <f t="shared" si="43"/>
        <v>8.0000000000000004E-4</v>
      </c>
      <c r="M97" s="98"/>
      <c r="N97" s="99">
        <f t="shared" si="44"/>
        <v>0</v>
      </c>
      <c r="P97" s="99">
        <f t="shared" si="45"/>
        <v>0</v>
      </c>
      <c r="Q97" s="99">
        <f t="shared" si="46"/>
        <v>0</v>
      </c>
      <c r="R97" s="99">
        <f t="shared" si="47"/>
        <v>0</v>
      </c>
      <c r="S97" s="99">
        <f t="shared" si="48"/>
        <v>0</v>
      </c>
      <c r="T97" s="99">
        <f t="shared" si="49"/>
        <v>0</v>
      </c>
      <c r="U97" s="99">
        <f t="shared" si="50"/>
        <v>0</v>
      </c>
      <c r="V97" s="99">
        <f t="shared" si="51"/>
        <v>0</v>
      </c>
      <c r="W97" s="90"/>
      <c r="X97" s="97">
        <f t="shared" si="52"/>
        <v>0</v>
      </c>
      <c r="Y97" s="97">
        <f t="shared" si="53"/>
        <v>0</v>
      </c>
      <c r="Z97" s="97">
        <f t="shared" si="54"/>
        <v>0</v>
      </c>
      <c r="AB97" s="99">
        <v>0</v>
      </c>
      <c r="AC97" s="99">
        <f>G97*0.870967741935484</f>
        <v>0</v>
      </c>
      <c r="AD97" s="99">
        <f>G97*(1-0.870967741935484)</f>
        <v>0</v>
      </c>
      <c r="AE97" s="98">
        <v>0</v>
      </c>
      <c r="AK97" s="99">
        <f t="shared" si="55"/>
        <v>0</v>
      </c>
      <c r="AL97" s="99">
        <f t="shared" si="56"/>
        <v>0</v>
      </c>
      <c r="AM97" s="100" t="s">
        <v>959</v>
      </c>
      <c r="AN97" s="100" t="s">
        <v>757</v>
      </c>
      <c r="AO97" s="90" t="s">
        <v>758</v>
      </c>
      <c r="AQ97" s="99">
        <f t="shared" si="57"/>
        <v>0</v>
      </c>
      <c r="AR97" s="99">
        <f t="shared" si="58"/>
        <v>0</v>
      </c>
      <c r="AS97" s="99">
        <v>0</v>
      </c>
      <c r="AT97" s="99">
        <f t="shared" si="59"/>
        <v>8.0000000000000004E-4</v>
      </c>
    </row>
    <row r="98" spans="1:46">
      <c r="A98" s="94" t="s">
        <v>974</v>
      </c>
      <c r="B98" s="94"/>
      <c r="C98" s="94" t="s">
        <v>975</v>
      </c>
      <c r="D98" s="95" t="s">
        <v>976</v>
      </c>
      <c r="E98" s="95" t="s">
        <v>792</v>
      </c>
      <c r="F98" s="96">
        <v>4</v>
      </c>
      <c r="G98" s="96"/>
      <c r="H98" s="97">
        <f t="shared" si="40"/>
        <v>0</v>
      </c>
      <c r="I98" s="97">
        <f t="shared" si="41"/>
        <v>0</v>
      </c>
      <c r="J98" s="97">
        <f t="shared" si="42"/>
        <v>0</v>
      </c>
      <c r="K98" s="97">
        <v>1E-3</v>
      </c>
      <c r="L98" s="97">
        <f t="shared" si="43"/>
        <v>4.0000000000000001E-3</v>
      </c>
      <c r="M98" s="98"/>
      <c r="N98" s="99">
        <f t="shared" si="44"/>
        <v>0</v>
      </c>
      <c r="P98" s="99">
        <f t="shared" si="45"/>
        <v>0</v>
      </c>
      <c r="Q98" s="99">
        <f t="shared" si="46"/>
        <v>0</v>
      </c>
      <c r="R98" s="99">
        <f t="shared" si="47"/>
        <v>0</v>
      </c>
      <c r="S98" s="99">
        <f t="shared" si="48"/>
        <v>0</v>
      </c>
      <c r="T98" s="99">
        <f t="shared" si="49"/>
        <v>0</v>
      </c>
      <c r="U98" s="99">
        <f t="shared" si="50"/>
        <v>0</v>
      </c>
      <c r="V98" s="99">
        <f t="shared" si="51"/>
        <v>0</v>
      </c>
      <c r="W98" s="90"/>
      <c r="X98" s="97">
        <f t="shared" si="52"/>
        <v>0</v>
      </c>
      <c r="Y98" s="97">
        <f t="shared" si="53"/>
        <v>0</v>
      </c>
      <c r="Z98" s="97">
        <f t="shared" si="54"/>
        <v>0</v>
      </c>
      <c r="AB98" s="99">
        <v>0</v>
      </c>
      <c r="AC98" s="99">
        <f>G98*0.930313588850174</f>
        <v>0</v>
      </c>
      <c r="AD98" s="99">
        <f>G98*(1-0.930313588850174)</f>
        <v>0</v>
      </c>
      <c r="AE98" s="98">
        <v>0</v>
      </c>
      <c r="AK98" s="99">
        <f t="shared" si="55"/>
        <v>0</v>
      </c>
      <c r="AL98" s="99">
        <f t="shared" si="56"/>
        <v>0</v>
      </c>
      <c r="AM98" s="100" t="s">
        <v>959</v>
      </c>
      <c r="AN98" s="100" t="s">
        <v>757</v>
      </c>
      <c r="AO98" s="90" t="s">
        <v>758</v>
      </c>
      <c r="AQ98" s="99">
        <f t="shared" si="57"/>
        <v>0</v>
      </c>
      <c r="AR98" s="99">
        <f t="shared" si="58"/>
        <v>0</v>
      </c>
      <c r="AS98" s="99">
        <v>0</v>
      </c>
      <c r="AT98" s="99">
        <f t="shared" si="59"/>
        <v>4.0000000000000001E-3</v>
      </c>
    </row>
    <row r="99" spans="1:46" ht="38.25">
      <c r="A99" s="94" t="s">
        <v>977</v>
      </c>
      <c r="B99" s="94"/>
      <c r="C99" s="94" t="s">
        <v>978</v>
      </c>
      <c r="D99" s="95" t="s">
        <v>979</v>
      </c>
      <c r="E99" s="95" t="s">
        <v>792</v>
      </c>
      <c r="F99" s="96">
        <v>9</v>
      </c>
      <c r="G99" s="96"/>
      <c r="H99" s="97">
        <f t="shared" si="40"/>
        <v>0</v>
      </c>
      <c r="I99" s="97">
        <f t="shared" si="41"/>
        <v>0</v>
      </c>
      <c r="J99" s="97">
        <f t="shared" si="42"/>
        <v>0</v>
      </c>
      <c r="K99" s="97">
        <v>4.4999999999999998E-2</v>
      </c>
      <c r="L99" s="97">
        <f t="shared" si="43"/>
        <v>0.40499999999999997</v>
      </c>
      <c r="M99" s="98"/>
      <c r="N99" s="99">
        <f t="shared" si="44"/>
        <v>0</v>
      </c>
      <c r="P99" s="99">
        <f t="shared" si="45"/>
        <v>0</v>
      </c>
      <c r="Q99" s="99">
        <f t="shared" si="46"/>
        <v>0</v>
      </c>
      <c r="R99" s="99">
        <f t="shared" si="47"/>
        <v>0</v>
      </c>
      <c r="S99" s="99">
        <f t="shared" si="48"/>
        <v>0</v>
      </c>
      <c r="T99" s="99">
        <f t="shared" si="49"/>
        <v>0</v>
      </c>
      <c r="U99" s="99">
        <f t="shared" si="50"/>
        <v>0</v>
      </c>
      <c r="V99" s="99">
        <f t="shared" si="51"/>
        <v>0</v>
      </c>
      <c r="W99" s="90"/>
      <c r="X99" s="97">
        <f t="shared" si="52"/>
        <v>0</v>
      </c>
      <c r="Y99" s="97">
        <f t="shared" si="53"/>
        <v>0</v>
      </c>
      <c r="Z99" s="97">
        <f t="shared" si="54"/>
        <v>0</v>
      </c>
      <c r="AB99" s="99">
        <v>0</v>
      </c>
      <c r="AC99" s="99">
        <f>G99*0.882352941176471</f>
        <v>0</v>
      </c>
      <c r="AD99" s="99">
        <f>G99*(1-0.882352941176471)</f>
        <v>0</v>
      </c>
      <c r="AE99" s="98">
        <v>0</v>
      </c>
      <c r="AK99" s="99">
        <f t="shared" si="55"/>
        <v>0</v>
      </c>
      <c r="AL99" s="99">
        <f t="shared" si="56"/>
        <v>0</v>
      </c>
      <c r="AM99" s="100" t="s">
        <v>959</v>
      </c>
      <c r="AN99" s="100" t="s">
        <v>757</v>
      </c>
      <c r="AO99" s="90" t="s">
        <v>758</v>
      </c>
      <c r="AQ99" s="99">
        <f t="shared" si="57"/>
        <v>0</v>
      </c>
      <c r="AR99" s="99">
        <f t="shared" si="58"/>
        <v>0</v>
      </c>
      <c r="AS99" s="99">
        <v>0</v>
      </c>
      <c r="AT99" s="99">
        <f t="shared" si="59"/>
        <v>0.40499999999999997</v>
      </c>
    </row>
    <row r="100" spans="1:46">
      <c r="A100" s="94" t="s">
        <v>980</v>
      </c>
      <c r="B100" s="94"/>
      <c r="C100" s="94" t="s">
        <v>981</v>
      </c>
      <c r="D100" s="95" t="s">
        <v>982</v>
      </c>
      <c r="E100" s="95" t="s">
        <v>958</v>
      </c>
      <c r="F100" s="96">
        <v>9</v>
      </c>
      <c r="G100" s="96"/>
      <c r="H100" s="97">
        <f t="shared" si="40"/>
        <v>0</v>
      </c>
      <c r="I100" s="97">
        <f t="shared" si="41"/>
        <v>0</v>
      </c>
      <c r="J100" s="97">
        <f t="shared" si="42"/>
        <v>0</v>
      </c>
      <c r="K100" s="97">
        <v>8.8999999999999995E-4</v>
      </c>
      <c r="L100" s="97">
        <f t="shared" si="43"/>
        <v>8.0099999999999998E-3</v>
      </c>
      <c r="M100" s="98" t="s">
        <v>755</v>
      </c>
      <c r="N100" s="99">
        <f t="shared" si="44"/>
        <v>0</v>
      </c>
      <c r="P100" s="99">
        <f t="shared" si="45"/>
        <v>0</v>
      </c>
      <c r="Q100" s="99">
        <f t="shared" si="46"/>
        <v>0</v>
      </c>
      <c r="R100" s="99">
        <f t="shared" si="47"/>
        <v>0</v>
      </c>
      <c r="S100" s="99">
        <f t="shared" si="48"/>
        <v>0</v>
      </c>
      <c r="T100" s="99">
        <f t="shared" si="49"/>
        <v>0</v>
      </c>
      <c r="U100" s="99">
        <f t="shared" si="50"/>
        <v>0</v>
      </c>
      <c r="V100" s="99">
        <f t="shared" si="51"/>
        <v>0</v>
      </c>
      <c r="W100" s="90"/>
      <c r="X100" s="97">
        <f t="shared" si="52"/>
        <v>0</v>
      </c>
      <c r="Y100" s="97">
        <f t="shared" si="53"/>
        <v>0</v>
      </c>
      <c r="Z100" s="97">
        <f t="shared" si="54"/>
        <v>0</v>
      </c>
      <c r="AB100" s="99">
        <v>0</v>
      </c>
      <c r="AC100" s="99">
        <f>G100*0.258537719816097</f>
        <v>0</v>
      </c>
      <c r="AD100" s="99">
        <f>G100*(1-0.258537719816097)</f>
        <v>0</v>
      </c>
      <c r="AE100" s="98">
        <v>0</v>
      </c>
      <c r="AK100" s="99">
        <f t="shared" si="55"/>
        <v>0</v>
      </c>
      <c r="AL100" s="99">
        <f t="shared" si="56"/>
        <v>0</v>
      </c>
      <c r="AM100" s="100" t="s">
        <v>959</v>
      </c>
      <c r="AN100" s="100" t="s">
        <v>757</v>
      </c>
      <c r="AO100" s="90" t="s">
        <v>758</v>
      </c>
      <c r="AQ100" s="99">
        <f t="shared" si="57"/>
        <v>0</v>
      </c>
      <c r="AR100" s="99">
        <f t="shared" si="58"/>
        <v>0</v>
      </c>
      <c r="AS100" s="99">
        <v>0</v>
      </c>
      <c r="AT100" s="99">
        <f t="shared" si="59"/>
        <v>8.0099999999999998E-3</v>
      </c>
    </row>
    <row r="101" spans="1:46" ht="25.5">
      <c r="A101" s="94" t="s">
        <v>983</v>
      </c>
      <c r="B101" s="94"/>
      <c r="C101" s="94" t="s">
        <v>984</v>
      </c>
      <c r="D101" s="95" t="s">
        <v>985</v>
      </c>
      <c r="E101" s="95" t="s">
        <v>958</v>
      </c>
      <c r="F101" s="96">
        <v>3</v>
      </c>
      <c r="G101" s="96"/>
      <c r="H101" s="97">
        <f t="shared" si="40"/>
        <v>0</v>
      </c>
      <c r="I101" s="97">
        <f t="shared" si="41"/>
        <v>0</v>
      </c>
      <c r="J101" s="97">
        <f t="shared" si="42"/>
        <v>0</v>
      </c>
      <c r="K101" s="97">
        <v>1.7010000000000001E-2</v>
      </c>
      <c r="L101" s="97">
        <f t="shared" si="43"/>
        <v>5.1030000000000006E-2</v>
      </c>
      <c r="M101" s="98" t="s">
        <v>882</v>
      </c>
      <c r="N101" s="99">
        <f t="shared" si="44"/>
        <v>0</v>
      </c>
      <c r="P101" s="99">
        <f t="shared" si="45"/>
        <v>0</v>
      </c>
      <c r="Q101" s="99">
        <f t="shared" si="46"/>
        <v>0</v>
      </c>
      <c r="R101" s="99">
        <f t="shared" si="47"/>
        <v>0</v>
      </c>
      <c r="S101" s="99">
        <f t="shared" si="48"/>
        <v>0</v>
      </c>
      <c r="T101" s="99">
        <f t="shared" si="49"/>
        <v>0</v>
      </c>
      <c r="U101" s="99">
        <f t="shared" si="50"/>
        <v>0</v>
      </c>
      <c r="V101" s="99">
        <f t="shared" si="51"/>
        <v>0</v>
      </c>
      <c r="W101" s="90"/>
      <c r="X101" s="97">
        <f t="shared" si="52"/>
        <v>0</v>
      </c>
      <c r="Y101" s="97">
        <f t="shared" si="53"/>
        <v>0</v>
      </c>
      <c r="Z101" s="97">
        <f t="shared" si="54"/>
        <v>0</v>
      </c>
      <c r="AB101" s="99">
        <v>0</v>
      </c>
      <c r="AC101" s="99">
        <f>G101*0.715170720396673</f>
        <v>0</v>
      </c>
      <c r="AD101" s="99">
        <f>G101*(1-0.715170720396673)</f>
        <v>0</v>
      </c>
      <c r="AE101" s="98">
        <v>0</v>
      </c>
      <c r="AK101" s="99">
        <f t="shared" si="55"/>
        <v>0</v>
      </c>
      <c r="AL101" s="99">
        <f t="shared" si="56"/>
        <v>0</v>
      </c>
      <c r="AM101" s="100" t="s">
        <v>959</v>
      </c>
      <c r="AN101" s="100" t="s">
        <v>757</v>
      </c>
      <c r="AO101" s="90" t="s">
        <v>758</v>
      </c>
      <c r="AQ101" s="99">
        <f t="shared" si="57"/>
        <v>0</v>
      </c>
      <c r="AR101" s="99">
        <f t="shared" si="58"/>
        <v>0</v>
      </c>
      <c r="AS101" s="99">
        <v>0</v>
      </c>
      <c r="AT101" s="99">
        <f t="shared" si="59"/>
        <v>5.1030000000000006E-2</v>
      </c>
    </row>
    <row r="102" spans="1:46">
      <c r="A102" s="94" t="s">
        <v>986</v>
      </c>
      <c r="B102" s="94"/>
      <c r="C102" s="94" t="s">
        <v>987</v>
      </c>
      <c r="D102" s="95" t="s">
        <v>988</v>
      </c>
      <c r="E102" s="95" t="s">
        <v>958</v>
      </c>
      <c r="F102" s="96">
        <v>4</v>
      </c>
      <c r="G102" s="96"/>
      <c r="H102" s="97">
        <f t="shared" si="40"/>
        <v>0</v>
      </c>
      <c r="I102" s="97">
        <f t="shared" si="41"/>
        <v>0</v>
      </c>
      <c r="J102" s="97">
        <f t="shared" si="42"/>
        <v>0</v>
      </c>
      <c r="K102" s="97">
        <v>9.1000000000000004E-3</v>
      </c>
      <c r="L102" s="97">
        <f t="shared" si="43"/>
        <v>3.6400000000000002E-2</v>
      </c>
      <c r="M102" s="98" t="s">
        <v>755</v>
      </c>
      <c r="N102" s="99">
        <f t="shared" si="44"/>
        <v>0</v>
      </c>
      <c r="P102" s="99">
        <f t="shared" si="45"/>
        <v>0</v>
      </c>
      <c r="Q102" s="99">
        <f t="shared" si="46"/>
        <v>0</v>
      </c>
      <c r="R102" s="99">
        <f t="shared" si="47"/>
        <v>0</v>
      </c>
      <c r="S102" s="99">
        <f t="shared" si="48"/>
        <v>0</v>
      </c>
      <c r="T102" s="99">
        <f t="shared" si="49"/>
        <v>0</v>
      </c>
      <c r="U102" s="99">
        <f t="shared" si="50"/>
        <v>0</v>
      </c>
      <c r="V102" s="99">
        <f t="shared" si="51"/>
        <v>0</v>
      </c>
      <c r="W102" s="90"/>
      <c r="X102" s="97">
        <f t="shared" si="52"/>
        <v>0</v>
      </c>
      <c r="Y102" s="97">
        <f t="shared" si="53"/>
        <v>0</v>
      </c>
      <c r="Z102" s="97">
        <f t="shared" si="54"/>
        <v>0</v>
      </c>
      <c r="AB102" s="99">
        <v>0</v>
      </c>
      <c r="AC102" s="99">
        <f>G102*0.724962453066333</f>
        <v>0</v>
      </c>
      <c r="AD102" s="99">
        <f>G102*(1-0.724962453066333)</f>
        <v>0</v>
      </c>
      <c r="AE102" s="98">
        <v>0</v>
      </c>
      <c r="AK102" s="99">
        <f t="shared" si="55"/>
        <v>0</v>
      </c>
      <c r="AL102" s="99">
        <f t="shared" si="56"/>
        <v>0</v>
      </c>
      <c r="AM102" s="100" t="s">
        <v>959</v>
      </c>
      <c r="AN102" s="100" t="s">
        <v>757</v>
      </c>
      <c r="AO102" s="90" t="s">
        <v>758</v>
      </c>
      <c r="AQ102" s="99">
        <f t="shared" si="57"/>
        <v>0</v>
      </c>
      <c r="AR102" s="99">
        <f t="shared" si="58"/>
        <v>0</v>
      </c>
      <c r="AS102" s="99">
        <v>0</v>
      </c>
      <c r="AT102" s="99">
        <f t="shared" si="59"/>
        <v>3.6400000000000002E-2</v>
      </c>
    </row>
    <row r="103" spans="1:46" ht="25.5">
      <c r="A103" s="94" t="s">
        <v>989</v>
      </c>
      <c r="B103" s="94"/>
      <c r="C103" s="94" t="s">
        <v>990</v>
      </c>
      <c r="D103" s="95" t="s">
        <v>991</v>
      </c>
      <c r="E103" s="95" t="s">
        <v>992</v>
      </c>
      <c r="F103" s="96">
        <v>4</v>
      </c>
      <c r="G103" s="96"/>
      <c r="H103" s="97">
        <f t="shared" si="40"/>
        <v>0</v>
      </c>
      <c r="I103" s="97">
        <f t="shared" si="41"/>
        <v>0</v>
      </c>
      <c r="J103" s="97">
        <f t="shared" si="42"/>
        <v>0</v>
      </c>
      <c r="K103" s="97">
        <v>8.0000000000000002E-3</v>
      </c>
      <c r="L103" s="97">
        <f t="shared" si="43"/>
        <v>3.2000000000000001E-2</v>
      </c>
      <c r="M103" s="98"/>
      <c r="N103" s="99">
        <f t="shared" si="44"/>
        <v>0</v>
      </c>
      <c r="P103" s="99">
        <f t="shared" si="45"/>
        <v>0</v>
      </c>
      <c r="Q103" s="99">
        <f t="shared" si="46"/>
        <v>0</v>
      </c>
      <c r="R103" s="99">
        <f t="shared" si="47"/>
        <v>0</v>
      </c>
      <c r="S103" s="99">
        <f t="shared" si="48"/>
        <v>0</v>
      </c>
      <c r="T103" s="99">
        <f t="shared" si="49"/>
        <v>0</v>
      </c>
      <c r="U103" s="99">
        <f t="shared" si="50"/>
        <v>0</v>
      </c>
      <c r="V103" s="99">
        <f t="shared" si="51"/>
        <v>0</v>
      </c>
      <c r="W103" s="90"/>
      <c r="X103" s="97">
        <f t="shared" si="52"/>
        <v>0</v>
      </c>
      <c r="Y103" s="97">
        <f t="shared" si="53"/>
        <v>0</v>
      </c>
      <c r="Z103" s="97">
        <f t="shared" si="54"/>
        <v>0</v>
      </c>
      <c r="AB103" s="99">
        <v>0</v>
      </c>
      <c r="AC103" s="99">
        <f>G103*0.861111111111111</f>
        <v>0</v>
      </c>
      <c r="AD103" s="99">
        <f>G103*(1-0.861111111111111)</f>
        <v>0</v>
      </c>
      <c r="AE103" s="98">
        <v>0</v>
      </c>
      <c r="AK103" s="99">
        <f t="shared" si="55"/>
        <v>0</v>
      </c>
      <c r="AL103" s="99">
        <f t="shared" si="56"/>
        <v>0</v>
      </c>
      <c r="AM103" s="100" t="s">
        <v>959</v>
      </c>
      <c r="AN103" s="100" t="s">
        <v>757</v>
      </c>
      <c r="AO103" s="90" t="s">
        <v>758</v>
      </c>
      <c r="AQ103" s="99">
        <f t="shared" si="57"/>
        <v>0</v>
      </c>
      <c r="AR103" s="99">
        <f t="shared" si="58"/>
        <v>0</v>
      </c>
      <c r="AS103" s="99">
        <v>0</v>
      </c>
      <c r="AT103" s="99">
        <f t="shared" si="59"/>
        <v>3.2000000000000001E-2</v>
      </c>
    </row>
    <row r="104" spans="1:46">
      <c r="A104" s="94" t="s">
        <v>993</v>
      </c>
      <c r="B104" s="94"/>
      <c r="C104" s="94" t="s">
        <v>994</v>
      </c>
      <c r="D104" s="95" t="s">
        <v>995</v>
      </c>
      <c r="E104" s="95" t="s">
        <v>958</v>
      </c>
      <c r="F104" s="96">
        <v>1</v>
      </c>
      <c r="G104" s="96"/>
      <c r="H104" s="97">
        <f t="shared" si="40"/>
        <v>0</v>
      </c>
      <c r="I104" s="97">
        <f t="shared" si="41"/>
        <v>0</v>
      </c>
      <c r="J104" s="97">
        <f t="shared" si="42"/>
        <v>0</v>
      </c>
      <c r="K104" s="97">
        <v>1.7010000000000001E-2</v>
      </c>
      <c r="L104" s="97">
        <f t="shared" si="43"/>
        <v>1.7010000000000001E-2</v>
      </c>
      <c r="M104" s="98" t="s">
        <v>755</v>
      </c>
      <c r="N104" s="99">
        <f t="shared" si="44"/>
        <v>0</v>
      </c>
      <c r="P104" s="99">
        <f t="shared" si="45"/>
        <v>0</v>
      </c>
      <c r="Q104" s="99">
        <f t="shared" si="46"/>
        <v>0</v>
      </c>
      <c r="R104" s="99">
        <f t="shared" si="47"/>
        <v>0</v>
      </c>
      <c r="S104" s="99">
        <f t="shared" si="48"/>
        <v>0</v>
      </c>
      <c r="T104" s="99">
        <f t="shared" si="49"/>
        <v>0</v>
      </c>
      <c r="U104" s="99">
        <f t="shared" si="50"/>
        <v>0</v>
      </c>
      <c r="V104" s="99">
        <f t="shared" si="51"/>
        <v>0</v>
      </c>
      <c r="W104" s="90"/>
      <c r="X104" s="97">
        <f t="shared" si="52"/>
        <v>0</v>
      </c>
      <c r="Y104" s="97">
        <f t="shared" si="53"/>
        <v>0</v>
      </c>
      <c r="Z104" s="97">
        <f t="shared" si="54"/>
        <v>0</v>
      </c>
      <c r="AB104" s="99">
        <v>0</v>
      </c>
      <c r="AC104" s="99">
        <f>G104*0.767605457127231</f>
        <v>0</v>
      </c>
      <c r="AD104" s="99">
        <f>G104*(1-0.767605457127231)</f>
        <v>0</v>
      </c>
      <c r="AE104" s="98">
        <v>0</v>
      </c>
      <c r="AK104" s="99">
        <f t="shared" si="55"/>
        <v>0</v>
      </c>
      <c r="AL104" s="99">
        <f t="shared" si="56"/>
        <v>0</v>
      </c>
      <c r="AM104" s="100" t="s">
        <v>959</v>
      </c>
      <c r="AN104" s="100" t="s">
        <v>757</v>
      </c>
      <c r="AO104" s="90" t="s">
        <v>758</v>
      </c>
      <c r="AQ104" s="99">
        <f t="shared" si="57"/>
        <v>0</v>
      </c>
      <c r="AR104" s="99">
        <f t="shared" si="58"/>
        <v>0</v>
      </c>
      <c r="AS104" s="99">
        <v>0</v>
      </c>
      <c r="AT104" s="99">
        <f t="shared" si="59"/>
        <v>1.7010000000000001E-2</v>
      </c>
    </row>
    <row r="105" spans="1:46" ht="25.5">
      <c r="A105" s="94" t="s">
        <v>996</v>
      </c>
      <c r="B105" s="94"/>
      <c r="C105" s="94" t="s">
        <v>997</v>
      </c>
      <c r="D105" s="95" t="s">
        <v>998</v>
      </c>
      <c r="E105" s="95" t="s">
        <v>792</v>
      </c>
      <c r="F105" s="96">
        <v>12</v>
      </c>
      <c r="G105" s="96"/>
      <c r="H105" s="97">
        <f t="shared" si="40"/>
        <v>0</v>
      </c>
      <c r="I105" s="97">
        <f t="shared" si="41"/>
        <v>0</v>
      </c>
      <c r="J105" s="97">
        <f t="shared" si="42"/>
        <v>0</v>
      </c>
      <c r="K105" s="97">
        <v>0.01</v>
      </c>
      <c r="L105" s="97">
        <f t="shared" si="43"/>
        <v>0.12</v>
      </c>
      <c r="M105" s="98"/>
      <c r="N105" s="99">
        <f t="shared" si="44"/>
        <v>0</v>
      </c>
      <c r="P105" s="99">
        <f t="shared" si="45"/>
        <v>0</v>
      </c>
      <c r="Q105" s="99">
        <f t="shared" si="46"/>
        <v>0</v>
      </c>
      <c r="R105" s="99">
        <f t="shared" si="47"/>
        <v>0</v>
      </c>
      <c r="S105" s="99">
        <f t="shared" si="48"/>
        <v>0</v>
      </c>
      <c r="T105" s="99">
        <f t="shared" si="49"/>
        <v>0</v>
      </c>
      <c r="U105" s="99">
        <f t="shared" si="50"/>
        <v>0</v>
      </c>
      <c r="V105" s="99">
        <f t="shared" si="51"/>
        <v>0</v>
      </c>
      <c r="W105" s="90"/>
      <c r="X105" s="97">
        <f t="shared" si="52"/>
        <v>0</v>
      </c>
      <c r="Y105" s="97">
        <f t="shared" si="53"/>
        <v>0</v>
      </c>
      <c r="Z105" s="97">
        <f t="shared" si="54"/>
        <v>0</v>
      </c>
      <c r="AB105" s="99">
        <v>0</v>
      </c>
      <c r="AC105" s="99">
        <f>G105*0.842271293375394</f>
        <v>0</v>
      </c>
      <c r="AD105" s="99">
        <f>G105*(1-0.842271293375394)</f>
        <v>0</v>
      </c>
      <c r="AE105" s="98">
        <v>0</v>
      </c>
      <c r="AK105" s="99">
        <f t="shared" si="55"/>
        <v>0</v>
      </c>
      <c r="AL105" s="99">
        <f t="shared" si="56"/>
        <v>0</v>
      </c>
      <c r="AM105" s="100" t="s">
        <v>959</v>
      </c>
      <c r="AN105" s="100" t="s">
        <v>757</v>
      </c>
      <c r="AO105" s="90" t="s">
        <v>758</v>
      </c>
      <c r="AQ105" s="99">
        <f t="shared" si="57"/>
        <v>0</v>
      </c>
      <c r="AR105" s="99">
        <f t="shared" si="58"/>
        <v>0</v>
      </c>
      <c r="AS105" s="99">
        <v>0</v>
      </c>
      <c r="AT105" s="99">
        <f t="shared" si="59"/>
        <v>0.12</v>
      </c>
    </row>
    <row r="106" spans="1:46">
      <c r="A106" s="94" t="s">
        <v>999</v>
      </c>
      <c r="B106" s="94"/>
      <c r="C106" s="94" t="s">
        <v>1000</v>
      </c>
      <c r="D106" s="95" t="s">
        <v>1001</v>
      </c>
      <c r="E106" s="95" t="s">
        <v>958</v>
      </c>
      <c r="F106" s="96">
        <v>12</v>
      </c>
      <c r="G106" s="96"/>
      <c r="H106" s="97">
        <f t="shared" si="40"/>
        <v>0</v>
      </c>
      <c r="I106" s="97">
        <f t="shared" si="41"/>
        <v>0</v>
      </c>
      <c r="J106" s="97">
        <f t="shared" si="42"/>
        <v>0</v>
      </c>
      <c r="K106" s="97">
        <v>1.41E-3</v>
      </c>
      <c r="L106" s="97">
        <f t="shared" si="43"/>
        <v>1.6920000000000001E-2</v>
      </c>
      <c r="M106" s="98" t="s">
        <v>755</v>
      </c>
      <c r="N106" s="99">
        <f t="shared" si="44"/>
        <v>0</v>
      </c>
      <c r="P106" s="99">
        <f t="shared" si="45"/>
        <v>0</v>
      </c>
      <c r="Q106" s="99">
        <f t="shared" si="46"/>
        <v>0</v>
      </c>
      <c r="R106" s="99">
        <f t="shared" si="47"/>
        <v>0</v>
      </c>
      <c r="S106" s="99">
        <f t="shared" si="48"/>
        <v>0</v>
      </c>
      <c r="T106" s="99">
        <f t="shared" si="49"/>
        <v>0</v>
      </c>
      <c r="U106" s="99">
        <f t="shared" si="50"/>
        <v>0</v>
      </c>
      <c r="V106" s="99">
        <f t="shared" si="51"/>
        <v>0</v>
      </c>
      <c r="W106" s="90"/>
      <c r="X106" s="97">
        <f t="shared" si="52"/>
        <v>0</v>
      </c>
      <c r="Y106" s="97">
        <f t="shared" si="53"/>
        <v>0</v>
      </c>
      <c r="Z106" s="97">
        <f t="shared" si="54"/>
        <v>0</v>
      </c>
      <c r="AB106" s="99">
        <v>0</v>
      </c>
      <c r="AC106" s="99">
        <f>G106*0.140352112676056</f>
        <v>0</v>
      </c>
      <c r="AD106" s="99">
        <f>G106*(1-0.140352112676056)</f>
        <v>0</v>
      </c>
      <c r="AE106" s="98">
        <v>0</v>
      </c>
      <c r="AK106" s="99">
        <f t="shared" si="55"/>
        <v>0</v>
      </c>
      <c r="AL106" s="99">
        <f t="shared" si="56"/>
        <v>0</v>
      </c>
      <c r="AM106" s="100" t="s">
        <v>959</v>
      </c>
      <c r="AN106" s="100" t="s">
        <v>757</v>
      </c>
      <c r="AO106" s="90" t="s">
        <v>758</v>
      </c>
      <c r="AQ106" s="99">
        <f t="shared" si="57"/>
        <v>0</v>
      </c>
      <c r="AR106" s="99">
        <f t="shared" si="58"/>
        <v>0</v>
      </c>
      <c r="AS106" s="99">
        <v>0</v>
      </c>
      <c r="AT106" s="99">
        <f t="shared" si="59"/>
        <v>1.6920000000000001E-2</v>
      </c>
    </row>
    <row r="107" spans="1:46" ht="38.25">
      <c r="A107" s="94" t="s">
        <v>1002</v>
      </c>
      <c r="B107" s="94"/>
      <c r="C107" s="94" t="s">
        <v>1003</v>
      </c>
      <c r="D107" s="95" t="s">
        <v>1004</v>
      </c>
      <c r="E107" s="95" t="s">
        <v>52</v>
      </c>
      <c r="F107" s="96">
        <v>12</v>
      </c>
      <c r="G107" s="96"/>
      <c r="H107" s="97">
        <f t="shared" si="40"/>
        <v>0</v>
      </c>
      <c r="I107" s="97">
        <f t="shared" si="41"/>
        <v>0</v>
      </c>
      <c r="J107" s="97">
        <f t="shared" si="42"/>
        <v>0</v>
      </c>
      <c r="K107" s="97">
        <v>8.4999999999999995E-4</v>
      </c>
      <c r="L107" s="97">
        <f t="shared" si="43"/>
        <v>1.0199999999999999E-2</v>
      </c>
      <c r="M107" s="98" t="s">
        <v>755</v>
      </c>
      <c r="N107" s="99">
        <f t="shared" si="44"/>
        <v>0</v>
      </c>
      <c r="P107" s="99">
        <f t="shared" si="45"/>
        <v>0</v>
      </c>
      <c r="Q107" s="99">
        <f t="shared" si="46"/>
        <v>0</v>
      </c>
      <c r="R107" s="99">
        <f t="shared" si="47"/>
        <v>0</v>
      </c>
      <c r="S107" s="99">
        <f t="shared" si="48"/>
        <v>0</v>
      </c>
      <c r="T107" s="99">
        <f t="shared" si="49"/>
        <v>0</v>
      </c>
      <c r="U107" s="99">
        <f t="shared" si="50"/>
        <v>0</v>
      </c>
      <c r="V107" s="99">
        <f t="shared" si="51"/>
        <v>0</v>
      </c>
      <c r="W107" s="90"/>
      <c r="X107" s="97">
        <f t="shared" si="52"/>
        <v>0</v>
      </c>
      <c r="Y107" s="97">
        <f t="shared" si="53"/>
        <v>0</v>
      </c>
      <c r="Z107" s="97">
        <f t="shared" si="54"/>
        <v>0</v>
      </c>
      <c r="AB107" s="99">
        <v>0</v>
      </c>
      <c r="AC107" s="99">
        <f>G107*0.924293933054393</f>
        <v>0</v>
      </c>
      <c r="AD107" s="99">
        <f>G107*(1-0.924293933054393)</f>
        <v>0</v>
      </c>
      <c r="AE107" s="98">
        <v>0</v>
      </c>
      <c r="AK107" s="99">
        <f t="shared" si="55"/>
        <v>0</v>
      </c>
      <c r="AL107" s="99">
        <f t="shared" si="56"/>
        <v>0</v>
      </c>
      <c r="AM107" s="100" t="s">
        <v>959</v>
      </c>
      <c r="AN107" s="100" t="s">
        <v>757</v>
      </c>
      <c r="AO107" s="90" t="s">
        <v>758</v>
      </c>
      <c r="AQ107" s="99">
        <f t="shared" si="57"/>
        <v>0</v>
      </c>
      <c r="AR107" s="99">
        <f t="shared" si="58"/>
        <v>0</v>
      </c>
      <c r="AS107" s="99">
        <v>0</v>
      </c>
      <c r="AT107" s="99">
        <f t="shared" si="59"/>
        <v>1.0199999999999999E-2</v>
      </c>
    </row>
    <row r="108" spans="1:46" ht="25.5">
      <c r="A108" s="94" t="s">
        <v>1005</v>
      </c>
      <c r="B108" s="94"/>
      <c r="C108" s="94" t="s">
        <v>1006</v>
      </c>
      <c r="D108" s="95" t="s">
        <v>1007</v>
      </c>
      <c r="E108" s="95" t="s">
        <v>792</v>
      </c>
      <c r="F108" s="96">
        <v>24</v>
      </c>
      <c r="G108" s="96"/>
      <c r="H108" s="97">
        <f t="shared" si="40"/>
        <v>0</v>
      </c>
      <c r="I108" s="97">
        <f t="shared" si="41"/>
        <v>0</v>
      </c>
      <c r="J108" s="97">
        <f t="shared" si="42"/>
        <v>0</v>
      </c>
      <c r="K108" s="97">
        <v>2.0000000000000001E-4</v>
      </c>
      <c r="L108" s="97">
        <f t="shared" si="43"/>
        <v>4.8000000000000004E-3</v>
      </c>
      <c r="M108" s="98"/>
      <c r="N108" s="99">
        <f t="shared" si="44"/>
        <v>0</v>
      </c>
      <c r="P108" s="99">
        <f t="shared" si="45"/>
        <v>0</v>
      </c>
      <c r="Q108" s="99">
        <f t="shared" si="46"/>
        <v>0</v>
      </c>
      <c r="R108" s="99">
        <f t="shared" si="47"/>
        <v>0</v>
      </c>
      <c r="S108" s="99">
        <f t="shared" si="48"/>
        <v>0</v>
      </c>
      <c r="T108" s="99">
        <f t="shared" si="49"/>
        <v>0</v>
      </c>
      <c r="U108" s="99">
        <f t="shared" si="50"/>
        <v>0</v>
      </c>
      <c r="V108" s="99">
        <f t="shared" si="51"/>
        <v>0</v>
      </c>
      <c r="W108" s="90"/>
      <c r="X108" s="97">
        <f t="shared" si="52"/>
        <v>0</v>
      </c>
      <c r="Y108" s="97">
        <f t="shared" si="53"/>
        <v>0</v>
      </c>
      <c r="Z108" s="97">
        <f t="shared" si="54"/>
        <v>0</v>
      </c>
      <c r="AB108" s="99">
        <v>0</v>
      </c>
      <c r="AC108" s="99">
        <f>G108*0.960526315789474</f>
        <v>0</v>
      </c>
      <c r="AD108" s="99">
        <f>G108*(1-0.960526315789474)</f>
        <v>0</v>
      </c>
      <c r="AE108" s="98">
        <v>0</v>
      </c>
      <c r="AK108" s="99">
        <f t="shared" si="55"/>
        <v>0</v>
      </c>
      <c r="AL108" s="99">
        <f t="shared" si="56"/>
        <v>0</v>
      </c>
      <c r="AM108" s="100" t="s">
        <v>959</v>
      </c>
      <c r="AN108" s="100" t="s">
        <v>757</v>
      </c>
      <c r="AO108" s="90" t="s">
        <v>758</v>
      </c>
      <c r="AQ108" s="99">
        <f t="shared" si="57"/>
        <v>0</v>
      </c>
      <c r="AR108" s="99">
        <f t="shared" si="58"/>
        <v>0</v>
      </c>
      <c r="AS108" s="99">
        <v>0</v>
      </c>
      <c r="AT108" s="99">
        <f t="shared" si="59"/>
        <v>4.8000000000000004E-3</v>
      </c>
    </row>
    <row r="109" spans="1:46">
      <c r="A109" s="94" t="s">
        <v>1008</v>
      </c>
      <c r="B109" s="94"/>
      <c r="C109" s="94" t="s">
        <v>1009</v>
      </c>
      <c r="D109" s="95" t="s">
        <v>1010</v>
      </c>
      <c r="E109" s="95" t="s">
        <v>52</v>
      </c>
      <c r="F109" s="96">
        <v>12</v>
      </c>
      <c r="G109" s="96"/>
      <c r="H109" s="97">
        <f t="shared" si="40"/>
        <v>0</v>
      </c>
      <c r="I109" s="97">
        <f t="shared" si="41"/>
        <v>0</v>
      </c>
      <c r="J109" s="97">
        <f t="shared" si="42"/>
        <v>0</v>
      </c>
      <c r="K109" s="97">
        <v>4.0000000000000003E-5</v>
      </c>
      <c r="L109" s="97">
        <f t="shared" si="43"/>
        <v>4.8000000000000007E-4</v>
      </c>
      <c r="M109" s="98" t="s">
        <v>755</v>
      </c>
      <c r="N109" s="99">
        <f t="shared" si="44"/>
        <v>0</v>
      </c>
      <c r="P109" s="99">
        <f t="shared" si="45"/>
        <v>0</v>
      </c>
      <c r="Q109" s="99">
        <f t="shared" si="46"/>
        <v>0</v>
      </c>
      <c r="R109" s="99">
        <f t="shared" si="47"/>
        <v>0</v>
      </c>
      <c r="S109" s="99">
        <f t="shared" si="48"/>
        <v>0</v>
      </c>
      <c r="T109" s="99">
        <f t="shared" si="49"/>
        <v>0</v>
      </c>
      <c r="U109" s="99">
        <f t="shared" si="50"/>
        <v>0</v>
      </c>
      <c r="V109" s="99">
        <f t="shared" si="51"/>
        <v>0</v>
      </c>
      <c r="W109" s="90"/>
      <c r="X109" s="97">
        <f t="shared" si="52"/>
        <v>0</v>
      </c>
      <c r="Y109" s="97">
        <f t="shared" si="53"/>
        <v>0</v>
      </c>
      <c r="Z109" s="97">
        <f t="shared" si="54"/>
        <v>0</v>
      </c>
      <c r="AB109" s="99">
        <v>0</v>
      </c>
      <c r="AC109" s="99">
        <f>G109*0.0405298013245033</f>
        <v>0</v>
      </c>
      <c r="AD109" s="99">
        <f>G109*(1-0.0405298013245033)</f>
        <v>0</v>
      </c>
      <c r="AE109" s="98">
        <v>0</v>
      </c>
      <c r="AK109" s="99">
        <f t="shared" si="55"/>
        <v>0</v>
      </c>
      <c r="AL109" s="99">
        <f t="shared" si="56"/>
        <v>0</v>
      </c>
      <c r="AM109" s="100" t="s">
        <v>959</v>
      </c>
      <c r="AN109" s="100" t="s">
        <v>757</v>
      </c>
      <c r="AO109" s="90" t="s">
        <v>758</v>
      </c>
      <c r="AQ109" s="99">
        <f t="shared" si="57"/>
        <v>0</v>
      </c>
      <c r="AR109" s="99">
        <f t="shared" si="58"/>
        <v>0</v>
      </c>
      <c r="AS109" s="99">
        <v>0</v>
      </c>
      <c r="AT109" s="99">
        <f t="shared" si="59"/>
        <v>4.8000000000000007E-4</v>
      </c>
    </row>
    <row r="110" spans="1:46">
      <c r="A110" s="94" t="s">
        <v>21</v>
      </c>
      <c r="B110" s="94"/>
      <c r="C110" s="94" t="s">
        <v>1011</v>
      </c>
      <c r="D110" s="95" t="s">
        <v>1012</v>
      </c>
      <c r="E110" s="95" t="s">
        <v>792</v>
      </c>
      <c r="F110" s="96">
        <v>12</v>
      </c>
      <c r="G110" s="96"/>
      <c r="H110" s="97">
        <f t="shared" si="40"/>
        <v>0</v>
      </c>
      <c r="I110" s="97">
        <f t="shared" si="41"/>
        <v>0</v>
      </c>
      <c r="J110" s="97">
        <f t="shared" si="42"/>
        <v>0</v>
      </c>
      <c r="K110" s="97">
        <v>5.0000000000000001E-4</v>
      </c>
      <c r="L110" s="97">
        <f t="shared" si="43"/>
        <v>6.0000000000000001E-3</v>
      </c>
      <c r="M110" s="98"/>
      <c r="N110" s="99">
        <f t="shared" si="44"/>
        <v>0</v>
      </c>
      <c r="P110" s="99">
        <f t="shared" si="45"/>
        <v>0</v>
      </c>
      <c r="Q110" s="99">
        <f t="shared" si="46"/>
        <v>0</v>
      </c>
      <c r="R110" s="99">
        <f t="shared" si="47"/>
        <v>0</v>
      </c>
      <c r="S110" s="99">
        <f t="shared" si="48"/>
        <v>0</v>
      </c>
      <c r="T110" s="99">
        <f t="shared" si="49"/>
        <v>0</v>
      </c>
      <c r="U110" s="99">
        <f t="shared" si="50"/>
        <v>0</v>
      </c>
      <c r="V110" s="99">
        <f t="shared" si="51"/>
        <v>0</v>
      </c>
      <c r="W110" s="90"/>
      <c r="X110" s="97">
        <f t="shared" si="52"/>
        <v>0</v>
      </c>
      <c r="Y110" s="97">
        <f t="shared" si="53"/>
        <v>0</v>
      </c>
      <c r="Z110" s="97">
        <f t="shared" si="54"/>
        <v>0</v>
      </c>
      <c r="AB110" s="99">
        <v>0</v>
      </c>
      <c r="AC110" s="99">
        <f>G110*0.918367346938776</f>
        <v>0</v>
      </c>
      <c r="AD110" s="99">
        <f>G110*(1-0.918367346938776)</f>
        <v>0</v>
      </c>
      <c r="AE110" s="98">
        <v>0</v>
      </c>
      <c r="AK110" s="99">
        <f t="shared" si="55"/>
        <v>0</v>
      </c>
      <c r="AL110" s="99">
        <f t="shared" si="56"/>
        <v>0</v>
      </c>
      <c r="AM110" s="100" t="s">
        <v>959</v>
      </c>
      <c r="AN110" s="100" t="s">
        <v>757</v>
      </c>
      <c r="AO110" s="90" t="s">
        <v>758</v>
      </c>
      <c r="AQ110" s="99">
        <f t="shared" si="57"/>
        <v>0</v>
      </c>
      <c r="AR110" s="99">
        <f t="shared" si="58"/>
        <v>0</v>
      </c>
      <c r="AS110" s="99">
        <v>0</v>
      </c>
      <c r="AT110" s="99">
        <f t="shared" si="59"/>
        <v>6.0000000000000001E-3</v>
      </c>
    </row>
    <row r="111" spans="1:46" ht="25.5">
      <c r="A111" s="94" t="s">
        <v>1013</v>
      </c>
      <c r="B111" s="94"/>
      <c r="C111" s="94" t="s">
        <v>1014</v>
      </c>
      <c r="D111" s="95" t="s">
        <v>1015</v>
      </c>
      <c r="E111" s="95" t="s">
        <v>792</v>
      </c>
      <c r="F111" s="96">
        <v>1</v>
      </c>
      <c r="G111" s="96"/>
      <c r="H111" s="97">
        <f t="shared" si="40"/>
        <v>0</v>
      </c>
      <c r="I111" s="97">
        <f t="shared" si="41"/>
        <v>0</v>
      </c>
      <c r="J111" s="97">
        <f t="shared" si="42"/>
        <v>0</v>
      </c>
      <c r="K111" s="97">
        <v>2E-3</v>
      </c>
      <c r="L111" s="97">
        <f t="shared" si="43"/>
        <v>2E-3</v>
      </c>
      <c r="M111" s="98"/>
      <c r="N111" s="99">
        <f t="shared" si="44"/>
        <v>0</v>
      </c>
      <c r="P111" s="99">
        <f t="shared" si="45"/>
        <v>0</v>
      </c>
      <c r="Q111" s="99">
        <f t="shared" si="46"/>
        <v>0</v>
      </c>
      <c r="R111" s="99">
        <f t="shared" si="47"/>
        <v>0</v>
      </c>
      <c r="S111" s="99">
        <f t="shared" si="48"/>
        <v>0</v>
      </c>
      <c r="T111" s="99">
        <f t="shared" si="49"/>
        <v>0</v>
      </c>
      <c r="U111" s="99">
        <f t="shared" si="50"/>
        <v>0</v>
      </c>
      <c r="V111" s="99">
        <f t="shared" si="51"/>
        <v>0</v>
      </c>
      <c r="W111" s="90"/>
      <c r="X111" s="97">
        <f t="shared" si="52"/>
        <v>0</v>
      </c>
      <c r="Y111" s="97">
        <f t="shared" si="53"/>
        <v>0</v>
      </c>
      <c r="Z111" s="97">
        <f t="shared" si="54"/>
        <v>0</v>
      </c>
      <c r="AB111" s="99">
        <v>0</v>
      </c>
      <c r="AC111" s="99">
        <f>G111*0.892241379310345</f>
        <v>0</v>
      </c>
      <c r="AD111" s="99">
        <f>G111*(1-0.892241379310345)</f>
        <v>0</v>
      </c>
      <c r="AE111" s="98">
        <v>0</v>
      </c>
      <c r="AK111" s="99">
        <f t="shared" si="55"/>
        <v>0</v>
      </c>
      <c r="AL111" s="99">
        <f t="shared" si="56"/>
        <v>0</v>
      </c>
      <c r="AM111" s="100" t="s">
        <v>959</v>
      </c>
      <c r="AN111" s="100" t="s">
        <v>757</v>
      </c>
      <c r="AO111" s="90" t="s">
        <v>758</v>
      </c>
      <c r="AQ111" s="99">
        <f t="shared" si="57"/>
        <v>0</v>
      </c>
      <c r="AR111" s="99">
        <f t="shared" si="58"/>
        <v>0</v>
      </c>
      <c r="AS111" s="99">
        <v>0</v>
      </c>
      <c r="AT111" s="99">
        <f t="shared" si="59"/>
        <v>2E-3</v>
      </c>
    </row>
    <row r="112" spans="1:46" ht="25.5">
      <c r="A112" s="94" t="s">
        <v>1016</v>
      </c>
      <c r="B112" s="94"/>
      <c r="C112" s="94" t="s">
        <v>1017</v>
      </c>
      <c r="D112" s="95" t="s">
        <v>1018</v>
      </c>
      <c r="E112" s="95" t="s">
        <v>792</v>
      </c>
      <c r="F112" s="96">
        <v>1</v>
      </c>
      <c r="G112" s="96"/>
      <c r="H112" s="97">
        <f t="shared" si="40"/>
        <v>0</v>
      </c>
      <c r="I112" s="97">
        <f t="shared" si="41"/>
        <v>0</v>
      </c>
      <c r="J112" s="97">
        <f t="shared" si="42"/>
        <v>0</v>
      </c>
      <c r="K112" s="97">
        <v>0.15</v>
      </c>
      <c r="L112" s="97">
        <f t="shared" si="43"/>
        <v>0.15</v>
      </c>
      <c r="M112" s="98"/>
      <c r="N112" s="99">
        <f t="shared" si="44"/>
        <v>0</v>
      </c>
      <c r="P112" s="99">
        <f t="shared" si="45"/>
        <v>0</v>
      </c>
      <c r="Q112" s="99">
        <f t="shared" si="46"/>
        <v>0</v>
      </c>
      <c r="R112" s="99">
        <f t="shared" si="47"/>
        <v>0</v>
      </c>
      <c r="S112" s="99">
        <f t="shared" si="48"/>
        <v>0</v>
      </c>
      <c r="T112" s="99">
        <f t="shared" si="49"/>
        <v>0</v>
      </c>
      <c r="U112" s="99">
        <f t="shared" si="50"/>
        <v>0</v>
      </c>
      <c r="V112" s="99">
        <f t="shared" si="51"/>
        <v>0</v>
      </c>
      <c r="W112" s="90"/>
      <c r="X112" s="97">
        <f t="shared" si="52"/>
        <v>0</v>
      </c>
      <c r="Y112" s="97">
        <f t="shared" si="53"/>
        <v>0</v>
      </c>
      <c r="Z112" s="97">
        <f t="shared" si="54"/>
        <v>0</v>
      </c>
      <c r="AB112" s="99">
        <v>0</v>
      </c>
      <c r="AC112" s="99">
        <f>G112*0.973154362416107</f>
        <v>0</v>
      </c>
      <c r="AD112" s="99">
        <f>G112*(1-0.973154362416107)</f>
        <v>0</v>
      </c>
      <c r="AE112" s="98">
        <v>0</v>
      </c>
      <c r="AK112" s="99">
        <f t="shared" si="55"/>
        <v>0</v>
      </c>
      <c r="AL112" s="99">
        <f t="shared" si="56"/>
        <v>0</v>
      </c>
      <c r="AM112" s="100" t="s">
        <v>959</v>
      </c>
      <c r="AN112" s="100" t="s">
        <v>757</v>
      </c>
      <c r="AO112" s="90" t="s">
        <v>758</v>
      </c>
      <c r="AQ112" s="99">
        <f t="shared" si="57"/>
        <v>0</v>
      </c>
      <c r="AR112" s="99">
        <f t="shared" si="58"/>
        <v>0</v>
      </c>
      <c r="AS112" s="99">
        <v>0</v>
      </c>
      <c r="AT112" s="99">
        <f t="shared" si="59"/>
        <v>0.15</v>
      </c>
    </row>
    <row r="113" spans="1:46" ht="25.5">
      <c r="A113" s="94" t="s">
        <v>1019</v>
      </c>
      <c r="B113" s="94"/>
      <c r="C113" s="94" t="s">
        <v>1020</v>
      </c>
      <c r="D113" s="95" t="s">
        <v>1021</v>
      </c>
      <c r="E113" s="95" t="s">
        <v>792</v>
      </c>
      <c r="F113" s="96">
        <v>3</v>
      </c>
      <c r="G113" s="96"/>
      <c r="H113" s="97">
        <f t="shared" si="40"/>
        <v>0</v>
      </c>
      <c r="I113" s="97">
        <f t="shared" si="41"/>
        <v>0</v>
      </c>
      <c r="J113" s="97">
        <f t="shared" si="42"/>
        <v>0</v>
      </c>
      <c r="K113" s="97">
        <v>2E-3</v>
      </c>
      <c r="L113" s="97">
        <f t="shared" si="43"/>
        <v>6.0000000000000001E-3</v>
      </c>
      <c r="M113" s="98"/>
      <c r="N113" s="99">
        <f t="shared" si="44"/>
        <v>0</v>
      </c>
      <c r="P113" s="99">
        <f t="shared" si="45"/>
        <v>0</v>
      </c>
      <c r="Q113" s="99">
        <f t="shared" si="46"/>
        <v>0</v>
      </c>
      <c r="R113" s="99">
        <f t="shared" si="47"/>
        <v>0</v>
      </c>
      <c r="S113" s="99">
        <f t="shared" si="48"/>
        <v>0</v>
      </c>
      <c r="T113" s="99">
        <f t="shared" si="49"/>
        <v>0</v>
      </c>
      <c r="U113" s="99">
        <f t="shared" si="50"/>
        <v>0</v>
      </c>
      <c r="V113" s="99">
        <f t="shared" si="51"/>
        <v>0</v>
      </c>
      <c r="W113" s="90"/>
      <c r="X113" s="97">
        <f t="shared" si="52"/>
        <v>0</v>
      </c>
      <c r="Y113" s="97">
        <f t="shared" si="53"/>
        <v>0</v>
      </c>
      <c r="Z113" s="97">
        <f t="shared" si="54"/>
        <v>0</v>
      </c>
      <c r="AB113" s="99">
        <v>0</v>
      </c>
      <c r="AC113" s="99">
        <f>G113*0.946524064171123</f>
        <v>0</v>
      </c>
      <c r="AD113" s="99">
        <f>G113*(1-0.946524064171123)</f>
        <v>0</v>
      </c>
      <c r="AE113" s="98">
        <v>0</v>
      </c>
      <c r="AK113" s="99">
        <f t="shared" si="55"/>
        <v>0</v>
      </c>
      <c r="AL113" s="99">
        <f t="shared" si="56"/>
        <v>0</v>
      </c>
      <c r="AM113" s="100" t="s">
        <v>959</v>
      </c>
      <c r="AN113" s="100" t="s">
        <v>757</v>
      </c>
      <c r="AO113" s="90" t="s">
        <v>758</v>
      </c>
      <c r="AQ113" s="99">
        <f t="shared" si="57"/>
        <v>0</v>
      </c>
      <c r="AR113" s="99">
        <f t="shared" si="58"/>
        <v>0</v>
      </c>
      <c r="AS113" s="99">
        <v>0</v>
      </c>
      <c r="AT113" s="99">
        <f t="shared" si="59"/>
        <v>6.0000000000000001E-3</v>
      </c>
    </row>
    <row r="114" spans="1:46">
      <c r="A114" s="94" t="s">
        <v>23</v>
      </c>
      <c r="B114" s="94"/>
      <c r="C114" s="94" t="s">
        <v>1022</v>
      </c>
      <c r="D114" s="95" t="s">
        <v>1023</v>
      </c>
      <c r="E114" s="95" t="s">
        <v>52</v>
      </c>
      <c r="F114" s="96">
        <v>3</v>
      </c>
      <c r="G114" s="96"/>
      <c r="H114" s="97">
        <f t="shared" si="40"/>
        <v>0</v>
      </c>
      <c r="I114" s="97">
        <f t="shared" si="41"/>
        <v>0</v>
      </c>
      <c r="J114" s="97">
        <f t="shared" si="42"/>
        <v>0</v>
      </c>
      <c r="K114" s="97">
        <v>1.2999999999999999E-4</v>
      </c>
      <c r="L114" s="97">
        <f t="shared" si="43"/>
        <v>3.8999999999999994E-4</v>
      </c>
      <c r="M114" s="98" t="s">
        <v>755</v>
      </c>
      <c r="N114" s="99">
        <f t="shared" si="44"/>
        <v>0</v>
      </c>
      <c r="P114" s="99">
        <f t="shared" si="45"/>
        <v>0</v>
      </c>
      <c r="Q114" s="99">
        <f t="shared" si="46"/>
        <v>0</v>
      </c>
      <c r="R114" s="99">
        <f t="shared" si="47"/>
        <v>0</v>
      </c>
      <c r="S114" s="99">
        <f t="shared" si="48"/>
        <v>0</v>
      </c>
      <c r="T114" s="99">
        <f t="shared" si="49"/>
        <v>0</v>
      </c>
      <c r="U114" s="99">
        <f t="shared" si="50"/>
        <v>0</v>
      </c>
      <c r="V114" s="99">
        <f t="shared" si="51"/>
        <v>0</v>
      </c>
      <c r="W114" s="90"/>
      <c r="X114" s="97">
        <f t="shared" si="52"/>
        <v>0</v>
      </c>
      <c r="Y114" s="97">
        <f t="shared" si="53"/>
        <v>0</v>
      </c>
      <c r="Z114" s="97">
        <f t="shared" si="54"/>
        <v>0</v>
      </c>
      <c r="AB114" s="99">
        <v>0</v>
      </c>
      <c r="AC114" s="99">
        <f>G114*0.219844286188702</f>
        <v>0</v>
      </c>
      <c r="AD114" s="99">
        <f>G114*(1-0.219844286188702)</f>
        <v>0</v>
      </c>
      <c r="AE114" s="98">
        <v>0</v>
      </c>
      <c r="AK114" s="99">
        <f t="shared" si="55"/>
        <v>0</v>
      </c>
      <c r="AL114" s="99">
        <f t="shared" si="56"/>
        <v>0</v>
      </c>
      <c r="AM114" s="100" t="s">
        <v>959</v>
      </c>
      <c r="AN114" s="100" t="s">
        <v>757</v>
      </c>
      <c r="AO114" s="90" t="s">
        <v>758</v>
      </c>
      <c r="AQ114" s="99">
        <f t="shared" si="57"/>
        <v>0</v>
      </c>
      <c r="AR114" s="99">
        <f t="shared" si="58"/>
        <v>0</v>
      </c>
      <c r="AS114" s="99">
        <v>0</v>
      </c>
      <c r="AT114" s="99">
        <f t="shared" si="59"/>
        <v>3.8999999999999994E-4</v>
      </c>
    </row>
    <row r="115" spans="1:46" ht="25.5">
      <c r="A115" s="94" t="s">
        <v>1024</v>
      </c>
      <c r="B115" s="94"/>
      <c r="C115" s="94" t="s">
        <v>1025</v>
      </c>
      <c r="D115" s="95" t="s">
        <v>1026</v>
      </c>
      <c r="E115" s="95" t="s">
        <v>792</v>
      </c>
      <c r="F115" s="96">
        <v>5</v>
      </c>
      <c r="G115" s="96"/>
      <c r="H115" s="97">
        <f t="shared" si="40"/>
        <v>0</v>
      </c>
      <c r="I115" s="97">
        <f t="shared" si="41"/>
        <v>0</v>
      </c>
      <c r="J115" s="97">
        <f t="shared" si="42"/>
        <v>0</v>
      </c>
      <c r="K115" s="97">
        <v>8.0000000000000002E-3</v>
      </c>
      <c r="L115" s="97">
        <f t="shared" si="43"/>
        <v>0.04</v>
      </c>
      <c r="M115" s="98"/>
      <c r="N115" s="99">
        <f t="shared" si="44"/>
        <v>0</v>
      </c>
      <c r="P115" s="99">
        <f t="shared" si="45"/>
        <v>0</v>
      </c>
      <c r="Q115" s="99">
        <f t="shared" si="46"/>
        <v>0</v>
      </c>
      <c r="R115" s="99">
        <f t="shared" si="47"/>
        <v>0</v>
      </c>
      <c r="S115" s="99">
        <f t="shared" si="48"/>
        <v>0</v>
      </c>
      <c r="T115" s="99">
        <f t="shared" si="49"/>
        <v>0</v>
      </c>
      <c r="U115" s="99">
        <f t="shared" si="50"/>
        <v>0</v>
      </c>
      <c r="V115" s="99">
        <f t="shared" si="51"/>
        <v>0</v>
      </c>
      <c r="W115" s="90"/>
      <c r="X115" s="97">
        <f t="shared" si="52"/>
        <v>0</v>
      </c>
      <c r="Y115" s="97">
        <f t="shared" si="53"/>
        <v>0</v>
      </c>
      <c r="Z115" s="97">
        <f t="shared" si="54"/>
        <v>0</v>
      </c>
      <c r="AB115" s="99">
        <v>0</v>
      </c>
      <c r="AC115" s="99">
        <f>G115*0.847457627118644</f>
        <v>0</v>
      </c>
      <c r="AD115" s="99">
        <f>G115*(1-0.847457627118644)</f>
        <v>0</v>
      </c>
      <c r="AE115" s="98">
        <v>0</v>
      </c>
      <c r="AK115" s="99">
        <f t="shared" si="55"/>
        <v>0</v>
      </c>
      <c r="AL115" s="99">
        <f t="shared" si="56"/>
        <v>0</v>
      </c>
      <c r="AM115" s="100" t="s">
        <v>959</v>
      </c>
      <c r="AN115" s="100" t="s">
        <v>757</v>
      </c>
      <c r="AO115" s="90" t="s">
        <v>758</v>
      </c>
      <c r="AQ115" s="99">
        <f t="shared" si="57"/>
        <v>0</v>
      </c>
      <c r="AR115" s="99">
        <f t="shared" si="58"/>
        <v>0</v>
      </c>
      <c r="AS115" s="99">
        <v>0</v>
      </c>
      <c r="AT115" s="99">
        <f t="shared" si="59"/>
        <v>0.04</v>
      </c>
    </row>
    <row r="116" spans="1:46">
      <c r="A116" s="94" t="s">
        <v>1027</v>
      </c>
      <c r="B116" s="94"/>
      <c r="C116" s="94" t="s">
        <v>1025</v>
      </c>
      <c r="D116" s="95" t="s">
        <v>1028</v>
      </c>
      <c r="E116" s="95" t="s">
        <v>792</v>
      </c>
      <c r="F116" s="96">
        <v>15</v>
      </c>
      <c r="G116" s="96"/>
      <c r="H116" s="97">
        <f t="shared" si="40"/>
        <v>0</v>
      </c>
      <c r="I116" s="97">
        <f t="shared" si="41"/>
        <v>0</v>
      </c>
      <c r="J116" s="97">
        <f t="shared" si="42"/>
        <v>0</v>
      </c>
      <c r="K116" s="97">
        <v>8.0000000000000002E-3</v>
      </c>
      <c r="L116" s="97">
        <f t="shared" si="43"/>
        <v>0.12</v>
      </c>
      <c r="M116" s="98"/>
      <c r="N116" s="99">
        <f t="shared" si="44"/>
        <v>0</v>
      </c>
      <c r="P116" s="99">
        <f t="shared" si="45"/>
        <v>0</v>
      </c>
      <c r="Q116" s="99">
        <f t="shared" si="46"/>
        <v>0</v>
      </c>
      <c r="R116" s="99">
        <f t="shared" si="47"/>
        <v>0</v>
      </c>
      <c r="S116" s="99">
        <f t="shared" si="48"/>
        <v>0</v>
      </c>
      <c r="T116" s="99">
        <f t="shared" si="49"/>
        <v>0</v>
      </c>
      <c r="U116" s="99">
        <f t="shared" si="50"/>
        <v>0</v>
      </c>
      <c r="V116" s="99">
        <f t="shared" si="51"/>
        <v>0</v>
      </c>
      <c r="W116" s="90"/>
      <c r="X116" s="97">
        <f t="shared" si="52"/>
        <v>0</v>
      </c>
      <c r="Y116" s="97">
        <f t="shared" si="53"/>
        <v>0</v>
      </c>
      <c r="Z116" s="97">
        <f t="shared" si="54"/>
        <v>0</v>
      </c>
      <c r="AB116" s="99">
        <v>0</v>
      </c>
      <c r="AC116" s="99">
        <f>G116*0.847457627118644</f>
        <v>0</v>
      </c>
      <c r="AD116" s="99">
        <f>G116*(1-0.847457627118644)</f>
        <v>0</v>
      </c>
      <c r="AE116" s="98">
        <v>0</v>
      </c>
      <c r="AK116" s="99">
        <f t="shared" si="55"/>
        <v>0</v>
      </c>
      <c r="AL116" s="99">
        <f t="shared" si="56"/>
        <v>0</v>
      </c>
      <c r="AM116" s="100" t="s">
        <v>959</v>
      </c>
      <c r="AN116" s="100" t="s">
        <v>757</v>
      </c>
      <c r="AO116" s="90" t="s">
        <v>758</v>
      </c>
      <c r="AQ116" s="99">
        <f t="shared" si="57"/>
        <v>0</v>
      </c>
      <c r="AR116" s="99">
        <f t="shared" si="58"/>
        <v>0</v>
      </c>
      <c r="AS116" s="99">
        <v>0</v>
      </c>
      <c r="AT116" s="99">
        <f t="shared" si="59"/>
        <v>0.12</v>
      </c>
    </row>
    <row r="117" spans="1:46" ht="25.5">
      <c r="A117" s="94" t="s">
        <v>1029</v>
      </c>
      <c r="B117" s="94"/>
      <c r="C117" s="94" t="s">
        <v>1030</v>
      </c>
      <c r="D117" s="95" t="s">
        <v>1031</v>
      </c>
      <c r="E117" s="95" t="s">
        <v>792</v>
      </c>
      <c r="F117" s="96">
        <v>2</v>
      </c>
      <c r="G117" s="96"/>
      <c r="H117" s="97">
        <f t="shared" si="40"/>
        <v>0</v>
      </c>
      <c r="I117" s="97">
        <f t="shared" si="41"/>
        <v>0</v>
      </c>
      <c r="J117" s="97">
        <f t="shared" si="42"/>
        <v>0</v>
      </c>
      <c r="K117" s="97">
        <v>1E-3</v>
      </c>
      <c r="L117" s="97">
        <f t="shared" si="43"/>
        <v>2E-3</v>
      </c>
      <c r="M117" s="98"/>
      <c r="N117" s="99">
        <f t="shared" si="44"/>
        <v>0</v>
      </c>
      <c r="P117" s="99">
        <f t="shared" si="45"/>
        <v>0</v>
      </c>
      <c r="Q117" s="99">
        <f t="shared" si="46"/>
        <v>0</v>
      </c>
      <c r="R117" s="99">
        <f t="shared" si="47"/>
        <v>0</v>
      </c>
      <c r="S117" s="99">
        <f t="shared" si="48"/>
        <v>0</v>
      </c>
      <c r="T117" s="99">
        <f t="shared" si="49"/>
        <v>0</v>
      </c>
      <c r="U117" s="99">
        <f t="shared" si="50"/>
        <v>0</v>
      </c>
      <c r="V117" s="99">
        <f t="shared" si="51"/>
        <v>0</v>
      </c>
      <c r="W117" s="90"/>
      <c r="X117" s="97">
        <f t="shared" si="52"/>
        <v>0</v>
      </c>
      <c r="Y117" s="97">
        <f t="shared" si="53"/>
        <v>0</v>
      </c>
      <c r="Z117" s="97">
        <f t="shared" si="54"/>
        <v>0</v>
      </c>
      <c r="AB117" s="99">
        <v>0</v>
      </c>
      <c r="AC117" s="99">
        <f>G117*0.842105263157895</f>
        <v>0</v>
      </c>
      <c r="AD117" s="99">
        <f>G117*(1-0.842105263157895)</f>
        <v>0</v>
      </c>
      <c r="AE117" s="98">
        <v>0</v>
      </c>
      <c r="AK117" s="99">
        <f t="shared" si="55"/>
        <v>0</v>
      </c>
      <c r="AL117" s="99">
        <f t="shared" si="56"/>
        <v>0</v>
      </c>
      <c r="AM117" s="100" t="s">
        <v>959</v>
      </c>
      <c r="AN117" s="100" t="s">
        <v>757</v>
      </c>
      <c r="AO117" s="90" t="s">
        <v>758</v>
      </c>
      <c r="AQ117" s="99">
        <f t="shared" si="57"/>
        <v>0</v>
      </c>
      <c r="AR117" s="99">
        <f t="shared" si="58"/>
        <v>0</v>
      </c>
      <c r="AS117" s="99">
        <v>0</v>
      </c>
      <c r="AT117" s="99">
        <f t="shared" si="59"/>
        <v>2E-3</v>
      </c>
    </row>
    <row r="118" spans="1:46" ht="25.5">
      <c r="A118" s="94" t="s">
        <v>1032</v>
      </c>
      <c r="B118" s="94"/>
      <c r="C118" s="94" t="s">
        <v>1033</v>
      </c>
      <c r="D118" s="95" t="s">
        <v>1034</v>
      </c>
      <c r="E118" s="95" t="s">
        <v>52</v>
      </c>
      <c r="F118" s="96">
        <v>2</v>
      </c>
      <c r="G118" s="96"/>
      <c r="H118" s="97">
        <f t="shared" si="40"/>
        <v>0</v>
      </c>
      <c r="I118" s="97">
        <f t="shared" si="41"/>
        <v>0</v>
      </c>
      <c r="J118" s="97">
        <f t="shared" si="42"/>
        <v>0</v>
      </c>
      <c r="K118" s="97">
        <v>1.0200000000000001E-3</v>
      </c>
      <c r="L118" s="97">
        <f t="shared" si="43"/>
        <v>2.0400000000000001E-3</v>
      </c>
      <c r="M118" s="98" t="s">
        <v>882</v>
      </c>
      <c r="N118" s="99">
        <f t="shared" si="44"/>
        <v>0</v>
      </c>
      <c r="P118" s="99">
        <f t="shared" si="45"/>
        <v>0</v>
      </c>
      <c r="Q118" s="99">
        <f t="shared" si="46"/>
        <v>0</v>
      </c>
      <c r="R118" s="99">
        <f t="shared" si="47"/>
        <v>0</v>
      </c>
      <c r="S118" s="99">
        <f t="shared" si="48"/>
        <v>0</v>
      </c>
      <c r="T118" s="99">
        <f t="shared" si="49"/>
        <v>0</v>
      </c>
      <c r="U118" s="99">
        <f t="shared" si="50"/>
        <v>0</v>
      </c>
      <c r="V118" s="99">
        <f t="shared" si="51"/>
        <v>0</v>
      </c>
      <c r="W118" s="90"/>
      <c r="X118" s="97">
        <f t="shared" si="52"/>
        <v>0</v>
      </c>
      <c r="Y118" s="97">
        <f t="shared" si="53"/>
        <v>0</v>
      </c>
      <c r="Z118" s="97">
        <f t="shared" si="54"/>
        <v>0</v>
      </c>
      <c r="AB118" s="99">
        <v>0</v>
      </c>
      <c r="AC118" s="99">
        <f>G118*0.931952380952381</f>
        <v>0</v>
      </c>
      <c r="AD118" s="99">
        <f>G118*(1-0.931952380952381)</f>
        <v>0</v>
      </c>
      <c r="AE118" s="98">
        <v>0</v>
      </c>
      <c r="AK118" s="99">
        <f t="shared" si="55"/>
        <v>0</v>
      </c>
      <c r="AL118" s="99">
        <f t="shared" si="56"/>
        <v>0</v>
      </c>
      <c r="AM118" s="100" t="s">
        <v>959</v>
      </c>
      <c r="AN118" s="100" t="s">
        <v>757</v>
      </c>
      <c r="AO118" s="90" t="s">
        <v>758</v>
      </c>
      <c r="AQ118" s="99">
        <f t="shared" si="57"/>
        <v>0</v>
      </c>
      <c r="AR118" s="99">
        <f t="shared" si="58"/>
        <v>0</v>
      </c>
      <c r="AS118" s="99">
        <v>0</v>
      </c>
      <c r="AT118" s="99">
        <f t="shared" si="59"/>
        <v>2.0400000000000001E-3</v>
      </c>
    </row>
    <row r="119" spans="1:46">
      <c r="A119" s="94" t="s">
        <v>1035</v>
      </c>
      <c r="B119" s="94"/>
      <c r="C119" s="94" t="s">
        <v>1036</v>
      </c>
      <c r="D119" s="95" t="s">
        <v>1037</v>
      </c>
      <c r="E119" s="95" t="s">
        <v>52</v>
      </c>
      <c r="F119" s="96">
        <v>2</v>
      </c>
      <c r="G119" s="96"/>
      <c r="H119" s="97">
        <f t="shared" si="40"/>
        <v>0</v>
      </c>
      <c r="I119" s="97">
        <f t="shared" si="41"/>
        <v>0</v>
      </c>
      <c r="J119" s="97">
        <f t="shared" si="42"/>
        <v>0</v>
      </c>
      <c r="K119" s="97">
        <v>1.8000000000000001E-4</v>
      </c>
      <c r="L119" s="97">
        <f t="shared" si="43"/>
        <v>3.6000000000000002E-4</v>
      </c>
      <c r="M119" s="98" t="s">
        <v>882</v>
      </c>
      <c r="N119" s="99">
        <f t="shared" si="44"/>
        <v>0</v>
      </c>
      <c r="P119" s="99">
        <f t="shared" si="45"/>
        <v>0</v>
      </c>
      <c r="Q119" s="99">
        <f t="shared" si="46"/>
        <v>0</v>
      </c>
      <c r="R119" s="99">
        <f t="shared" si="47"/>
        <v>0</v>
      </c>
      <c r="S119" s="99">
        <f t="shared" si="48"/>
        <v>0</v>
      </c>
      <c r="T119" s="99">
        <f t="shared" si="49"/>
        <v>0</v>
      </c>
      <c r="U119" s="99">
        <f t="shared" si="50"/>
        <v>0</v>
      </c>
      <c r="V119" s="99">
        <f t="shared" si="51"/>
        <v>0</v>
      </c>
      <c r="W119" s="90"/>
      <c r="X119" s="97">
        <f t="shared" si="52"/>
        <v>0</v>
      </c>
      <c r="Y119" s="97">
        <f t="shared" si="53"/>
        <v>0</v>
      </c>
      <c r="Z119" s="97">
        <f t="shared" si="54"/>
        <v>0</v>
      </c>
      <c r="AB119" s="99">
        <v>0</v>
      </c>
      <c r="AC119" s="99">
        <f>G119*0.347984790874525</f>
        <v>0</v>
      </c>
      <c r="AD119" s="99">
        <f>G119*(1-0.347984790874525)</f>
        <v>0</v>
      </c>
      <c r="AE119" s="98">
        <v>0</v>
      </c>
      <c r="AK119" s="99">
        <f t="shared" si="55"/>
        <v>0</v>
      </c>
      <c r="AL119" s="99">
        <f t="shared" si="56"/>
        <v>0</v>
      </c>
      <c r="AM119" s="100" t="s">
        <v>959</v>
      </c>
      <c r="AN119" s="100" t="s">
        <v>757</v>
      </c>
      <c r="AO119" s="90" t="s">
        <v>758</v>
      </c>
      <c r="AQ119" s="99">
        <f t="shared" si="57"/>
        <v>0</v>
      </c>
      <c r="AR119" s="99">
        <f t="shared" si="58"/>
        <v>0</v>
      </c>
      <c r="AS119" s="99">
        <v>0</v>
      </c>
      <c r="AT119" s="99">
        <f t="shared" si="59"/>
        <v>3.6000000000000002E-4</v>
      </c>
    </row>
    <row r="120" spans="1:46" ht="38.25">
      <c r="A120" s="94" t="s">
        <v>1038</v>
      </c>
      <c r="B120" s="94"/>
      <c r="C120" s="94" t="s">
        <v>1039</v>
      </c>
      <c r="D120" s="95" t="s">
        <v>1040</v>
      </c>
      <c r="E120" s="95" t="s">
        <v>792</v>
      </c>
      <c r="F120" s="96">
        <v>1</v>
      </c>
      <c r="G120" s="96"/>
      <c r="H120" s="97">
        <f t="shared" si="40"/>
        <v>0</v>
      </c>
      <c r="I120" s="97">
        <f t="shared" si="41"/>
        <v>0</v>
      </c>
      <c r="J120" s="97">
        <f t="shared" si="42"/>
        <v>0</v>
      </c>
      <c r="K120" s="97">
        <v>1.7000000000000001E-2</v>
      </c>
      <c r="L120" s="97">
        <f t="shared" si="43"/>
        <v>1.7000000000000001E-2</v>
      </c>
      <c r="M120" s="98"/>
      <c r="N120" s="99">
        <f t="shared" si="44"/>
        <v>0</v>
      </c>
      <c r="P120" s="99">
        <f t="shared" si="45"/>
        <v>0</v>
      </c>
      <c r="Q120" s="99">
        <f t="shared" si="46"/>
        <v>0</v>
      </c>
      <c r="R120" s="99">
        <f t="shared" si="47"/>
        <v>0</v>
      </c>
      <c r="S120" s="99">
        <f t="shared" si="48"/>
        <v>0</v>
      </c>
      <c r="T120" s="99">
        <f t="shared" si="49"/>
        <v>0</v>
      </c>
      <c r="U120" s="99">
        <f t="shared" si="50"/>
        <v>0</v>
      </c>
      <c r="V120" s="99">
        <f t="shared" si="51"/>
        <v>0</v>
      </c>
      <c r="W120" s="90"/>
      <c r="X120" s="97">
        <f t="shared" si="52"/>
        <v>0</v>
      </c>
      <c r="Y120" s="97">
        <f t="shared" si="53"/>
        <v>0</v>
      </c>
      <c r="Z120" s="97">
        <f t="shared" si="54"/>
        <v>0</v>
      </c>
      <c r="AB120" s="99">
        <v>0</v>
      </c>
      <c r="AC120" s="99">
        <f>G120*0.918918918918919</f>
        <v>0</v>
      </c>
      <c r="AD120" s="99">
        <f>G120*(1-0.918918918918919)</f>
        <v>0</v>
      </c>
      <c r="AE120" s="98">
        <v>0</v>
      </c>
      <c r="AK120" s="99">
        <f t="shared" si="55"/>
        <v>0</v>
      </c>
      <c r="AL120" s="99">
        <f t="shared" si="56"/>
        <v>0</v>
      </c>
      <c r="AM120" s="100" t="s">
        <v>959</v>
      </c>
      <c r="AN120" s="100" t="s">
        <v>757</v>
      </c>
      <c r="AO120" s="90" t="s">
        <v>758</v>
      </c>
      <c r="AQ120" s="99">
        <f t="shared" si="57"/>
        <v>0</v>
      </c>
      <c r="AR120" s="99">
        <f t="shared" si="58"/>
        <v>0</v>
      </c>
      <c r="AS120" s="99">
        <v>0</v>
      </c>
      <c r="AT120" s="99">
        <f t="shared" si="59"/>
        <v>1.7000000000000001E-2</v>
      </c>
    </row>
    <row r="121" spans="1:46">
      <c r="A121" s="94" t="s">
        <v>1041</v>
      </c>
      <c r="B121" s="94"/>
      <c r="C121" s="94" t="s">
        <v>1042</v>
      </c>
      <c r="D121" s="95" t="s">
        <v>1043</v>
      </c>
      <c r="E121" s="95" t="s">
        <v>958</v>
      </c>
      <c r="F121" s="96">
        <v>20</v>
      </c>
      <c r="G121" s="96"/>
      <c r="H121" s="97">
        <f t="shared" si="40"/>
        <v>0</v>
      </c>
      <c r="I121" s="97">
        <f t="shared" si="41"/>
        <v>0</v>
      </c>
      <c r="J121" s="97">
        <f t="shared" si="42"/>
        <v>0</v>
      </c>
      <c r="K121" s="97">
        <v>0</v>
      </c>
      <c r="L121" s="97">
        <f t="shared" si="43"/>
        <v>0</v>
      </c>
      <c r="M121" s="98" t="s">
        <v>755</v>
      </c>
      <c r="N121" s="99">
        <f t="shared" si="44"/>
        <v>0</v>
      </c>
      <c r="P121" s="99">
        <f t="shared" si="45"/>
        <v>0</v>
      </c>
      <c r="Q121" s="99">
        <f t="shared" si="46"/>
        <v>0</v>
      </c>
      <c r="R121" s="99">
        <f t="shared" si="47"/>
        <v>0</v>
      </c>
      <c r="S121" s="99">
        <f t="shared" si="48"/>
        <v>0</v>
      </c>
      <c r="T121" s="99">
        <f t="shared" si="49"/>
        <v>0</v>
      </c>
      <c r="U121" s="99">
        <f t="shared" si="50"/>
        <v>0</v>
      </c>
      <c r="V121" s="99">
        <f t="shared" si="51"/>
        <v>0</v>
      </c>
      <c r="W121" s="90"/>
      <c r="X121" s="97">
        <f t="shared" si="52"/>
        <v>0</v>
      </c>
      <c r="Y121" s="97">
        <f t="shared" si="53"/>
        <v>0</v>
      </c>
      <c r="Z121" s="97">
        <f t="shared" si="54"/>
        <v>0</v>
      </c>
      <c r="AB121" s="99">
        <v>0</v>
      </c>
      <c r="AC121" s="99">
        <f>G121*0</f>
        <v>0</v>
      </c>
      <c r="AD121" s="99">
        <f>G121*(1-0)</f>
        <v>0</v>
      </c>
      <c r="AE121" s="98">
        <v>0</v>
      </c>
      <c r="AK121" s="99">
        <f t="shared" si="55"/>
        <v>0</v>
      </c>
      <c r="AL121" s="99">
        <f t="shared" si="56"/>
        <v>0</v>
      </c>
      <c r="AM121" s="100" t="s">
        <v>959</v>
      </c>
      <c r="AN121" s="100" t="s">
        <v>757</v>
      </c>
      <c r="AO121" s="90" t="s">
        <v>758</v>
      </c>
      <c r="AQ121" s="99">
        <f t="shared" si="57"/>
        <v>0</v>
      </c>
      <c r="AR121" s="99">
        <f t="shared" si="58"/>
        <v>0</v>
      </c>
      <c r="AS121" s="99">
        <v>0</v>
      </c>
      <c r="AT121" s="99">
        <f t="shared" si="59"/>
        <v>0</v>
      </c>
    </row>
    <row r="122" spans="1:46">
      <c r="A122" s="91"/>
      <c r="B122" s="92"/>
      <c r="C122" s="92" t="s">
        <v>31</v>
      </c>
      <c r="D122" s="361" t="s">
        <v>1044</v>
      </c>
      <c r="E122" s="362"/>
      <c r="F122" s="362"/>
      <c r="G122" s="362"/>
      <c r="H122" s="93">
        <f>SUM(H123:H123)</f>
        <v>0</v>
      </c>
      <c r="I122" s="93">
        <f>SUM(I123:I123)</f>
        <v>0</v>
      </c>
      <c r="J122" s="93">
        <f>H122+I122</f>
        <v>0</v>
      </c>
      <c r="K122" s="90"/>
      <c r="L122" s="93">
        <f>SUM(L123:L123)</f>
        <v>1.6000000000000001E-3</v>
      </c>
      <c r="M122" s="90"/>
      <c r="W122" s="90"/>
      <c r="AG122" s="93">
        <f>SUM(X123:X123)</f>
        <v>0</v>
      </c>
      <c r="AH122" s="93">
        <f>SUM(Y123:Y123)</f>
        <v>0</v>
      </c>
      <c r="AI122" s="93">
        <f>SUM(Z123:Z123)</f>
        <v>0</v>
      </c>
    </row>
    <row r="123" spans="1:46">
      <c r="A123" s="94" t="s">
        <v>1045</v>
      </c>
      <c r="B123" s="94"/>
      <c r="C123" s="94" t="s">
        <v>1046</v>
      </c>
      <c r="D123" s="95" t="s">
        <v>1047</v>
      </c>
      <c r="E123" s="95" t="s">
        <v>58</v>
      </c>
      <c r="F123" s="96">
        <v>20</v>
      </c>
      <c r="G123" s="96"/>
      <c r="H123" s="97">
        <f>F123*AC123</f>
        <v>0</v>
      </c>
      <c r="I123" s="97">
        <f>J123-H123</f>
        <v>0</v>
      </c>
      <c r="J123" s="97">
        <f>F123*G123</f>
        <v>0</v>
      </c>
      <c r="K123" s="97">
        <v>8.0000000000000007E-5</v>
      </c>
      <c r="L123" s="97">
        <f>F123*K123</f>
        <v>1.6000000000000001E-3</v>
      </c>
      <c r="M123" s="98" t="s">
        <v>1048</v>
      </c>
      <c r="N123" s="99">
        <f>IF(AE123="5",J123,0)</f>
        <v>0</v>
      </c>
      <c r="P123" s="99">
        <f>IF(AE123="1",H123,0)</f>
        <v>0</v>
      </c>
      <c r="Q123" s="99">
        <f>IF(AE123="1",I123,0)</f>
        <v>0</v>
      </c>
      <c r="R123" s="99">
        <f>IF(AE123="7",H123,0)</f>
        <v>0</v>
      </c>
      <c r="S123" s="99">
        <f>IF(AE123="7",I123,0)</f>
        <v>0</v>
      </c>
      <c r="T123" s="99">
        <f>IF(AE123="2",H123,0)</f>
        <v>0</v>
      </c>
      <c r="U123" s="99">
        <f>IF(AE123="2",I123,0)</f>
        <v>0</v>
      </c>
      <c r="V123" s="99">
        <f>IF(AE123="0",J123,0)</f>
        <v>0</v>
      </c>
      <c r="W123" s="90"/>
      <c r="X123" s="97">
        <f>IF(AB123=0,J123,0)</f>
        <v>0</v>
      </c>
      <c r="Y123" s="97">
        <f>IF(AB123=15,J123,0)</f>
        <v>0</v>
      </c>
      <c r="Z123" s="97">
        <f>IF(AB123=21,J123,0)</f>
        <v>0</v>
      </c>
      <c r="AB123" s="99">
        <v>0</v>
      </c>
      <c r="AC123" s="99">
        <f>G123*0.104218538806289</f>
        <v>0</v>
      </c>
      <c r="AD123" s="99">
        <f>G123*(1-0.104218538806289)</f>
        <v>0</v>
      </c>
      <c r="AE123" s="98">
        <v>0</v>
      </c>
      <c r="AK123" s="99">
        <f>F123*AC123</f>
        <v>0</v>
      </c>
      <c r="AL123" s="99">
        <f>F123*AD123</f>
        <v>0</v>
      </c>
      <c r="AM123" s="100" t="s">
        <v>1049</v>
      </c>
      <c r="AN123" s="100" t="s">
        <v>1050</v>
      </c>
      <c r="AO123" s="90" t="s">
        <v>758</v>
      </c>
      <c r="AQ123" s="99">
        <f>AK123+AL123</f>
        <v>0</v>
      </c>
      <c r="AR123" s="99">
        <f>G123/(100-AS123)*100</f>
        <v>0</v>
      </c>
      <c r="AS123" s="99">
        <v>0</v>
      </c>
      <c r="AT123" s="99">
        <f>L123</f>
        <v>1.6000000000000001E-3</v>
      </c>
    </row>
    <row r="124" spans="1:46">
      <c r="A124" s="91"/>
      <c r="B124" s="92"/>
      <c r="C124" s="92" t="s">
        <v>1051</v>
      </c>
      <c r="D124" s="361" t="s">
        <v>751</v>
      </c>
      <c r="E124" s="362"/>
      <c r="F124" s="362"/>
      <c r="G124" s="362"/>
      <c r="H124" s="93">
        <f>SUM(H125:H125)</f>
        <v>0</v>
      </c>
      <c r="I124" s="93">
        <f>SUM(I125:I125)</f>
        <v>0</v>
      </c>
      <c r="J124" s="93">
        <f>H124+I124</f>
        <v>0</v>
      </c>
      <c r="K124" s="90"/>
      <c r="L124" s="93">
        <f>SUM(L125:L125)</f>
        <v>0</v>
      </c>
      <c r="M124" s="90"/>
      <c r="W124" s="90"/>
      <c r="AG124" s="93">
        <f>SUM(X125:X125)</f>
        <v>0</v>
      </c>
      <c r="AH124" s="93">
        <f>SUM(Y125:Y125)</f>
        <v>0</v>
      </c>
      <c r="AI124" s="93">
        <f>SUM(Z125:Z125)</f>
        <v>0</v>
      </c>
    </row>
    <row r="125" spans="1:46">
      <c r="A125" s="94" t="s">
        <v>1052</v>
      </c>
      <c r="B125" s="94"/>
      <c r="C125" s="94" t="s">
        <v>1053</v>
      </c>
      <c r="D125" s="95" t="s">
        <v>1054</v>
      </c>
      <c r="E125" s="95" t="s">
        <v>60</v>
      </c>
      <c r="F125" s="96">
        <v>0.57430000000000003</v>
      </c>
      <c r="G125" s="96"/>
      <c r="H125" s="97">
        <f>F125*AC125</f>
        <v>0</v>
      </c>
      <c r="I125" s="97">
        <f>J125-H125</f>
        <v>0</v>
      </c>
      <c r="J125" s="97">
        <f>F125*G125</f>
        <v>0</v>
      </c>
      <c r="K125" s="97">
        <v>0</v>
      </c>
      <c r="L125" s="97">
        <f>F125*K125</f>
        <v>0</v>
      </c>
      <c r="M125" s="98" t="s">
        <v>755</v>
      </c>
      <c r="N125" s="99">
        <f>IF(AE125="5",J125,0)</f>
        <v>0</v>
      </c>
      <c r="P125" s="99">
        <f>IF(AE125="1",H125,0)</f>
        <v>0</v>
      </c>
      <c r="Q125" s="99">
        <f>IF(AE125="1",I125,0)</f>
        <v>0</v>
      </c>
      <c r="R125" s="99">
        <f>IF(AE125="7",H125,0)</f>
        <v>0</v>
      </c>
      <c r="S125" s="99">
        <f>IF(AE125="7",I125,0)</f>
        <v>0</v>
      </c>
      <c r="T125" s="99">
        <f>IF(AE125="2",H125,0)</f>
        <v>0</v>
      </c>
      <c r="U125" s="99">
        <f>IF(AE125="2",I125,0)</f>
        <v>0</v>
      </c>
      <c r="V125" s="99">
        <f>IF(AE125="0",J125,0)</f>
        <v>0</v>
      </c>
      <c r="W125" s="90"/>
      <c r="X125" s="97">
        <f>IF(AB125=0,J125,0)</f>
        <v>0</v>
      </c>
      <c r="Y125" s="97">
        <f>IF(AB125=15,J125,0)</f>
        <v>0</v>
      </c>
      <c r="Z125" s="97">
        <f>IF(AB125=21,J125,0)</f>
        <v>0</v>
      </c>
      <c r="AB125" s="99">
        <v>0</v>
      </c>
      <c r="AC125" s="99">
        <f>G125*0</f>
        <v>0</v>
      </c>
      <c r="AD125" s="99">
        <f>G125*(1-0)</f>
        <v>0</v>
      </c>
      <c r="AE125" s="98" t="s">
        <v>1055</v>
      </c>
      <c r="AK125" s="99">
        <f>F125*AC125</f>
        <v>0</v>
      </c>
      <c r="AL125" s="99">
        <f>F125*AD125</f>
        <v>0</v>
      </c>
      <c r="AM125" s="100" t="s">
        <v>1056</v>
      </c>
      <c r="AN125" s="100" t="s">
        <v>1057</v>
      </c>
      <c r="AO125" s="90" t="s">
        <v>758</v>
      </c>
      <c r="AQ125" s="99">
        <f>AK125+AL125</f>
        <v>0</v>
      </c>
      <c r="AR125" s="99">
        <f>G125/(100-AS125)*100</f>
        <v>0</v>
      </c>
      <c r="AS125" s="99">
        <v>0</v>
      </c>
      <c r="AT125" s="99">
        <f>L125</f>
        <v>0</v>
      </c>
    </row>
    <row r="126" spans="1:46">
      <c r="A126" s="91"/>
      <c r="B126" s="92"/>
      <c r="C126" s="92" t="s">
        <v>1058</v>
      </c>
      <c r="D126" s="361" t="s">
        <v>829</v>
      </c>
      <c r="E126" s="362"/>
      <c r="F126" s="362"/>
      <c r="G126" s="362"/>
      <c r="H126" s="93">
        <f>SUM(H127:H127)</f>
        <v>0</v>
      </c>
      <c r="I126" s="93">
        <f>SUM(I127:I127)</f>
        <v>0</v>
      </c>
      <c r="J126" s="93">
        <f>H126+I126</f>
        <v>0</v>
      </c>
      <c r="K126" s="90"/>
      <c r="L126" s="93">
        <f>SUM(L127:L127)</f>
        <v>0</v>
      </c>
      <c r="M126" s="90"/>
      <c r="W126" s="90"/>
      <c r="AG126" s="93">
        <f>SUM(X127:X127)</f>
        <v>0</v>
      </c>
      <c r="AH126" s="93">
        <f>SUM(Y127:Y127)</f>
        <v>0</v>
      </c>
      <c r="AI126" s="93">
        <f>SUM(Z127:Z127)</f>
        <v>0</v>
      </c>
    </row>
    <row r="127" spans="1:46">
      <c r="A127" s="94" t="s">
        <v>1059</v>
      </c>
      <c r="B127" s="94"/>
      <c r="C127" s="94" t="s">
        <v>1060</v>
      </c>
      <c r="D127" s="95" t="s">
        <v>1061</v>
      </c>
      <c r="E127" s="95" t="s">
        <v>60</v>
      </c>
      <c r="F127" s="96">
        <v>0.62090000000000001</v>
      </c>
      <c r="G127" s="96"/>
      <c r="H127" s="97">
        <f>F127*AC127</f>
        <v>0</v>
      </c>
      <c r="I127" s="97">
        <f>J127-H127</f>
        <v>0</v>
      </c>
      <c r="J127" s="97">
        <f>F127*G127</f>
        <v>0</v>
      </c>
      <c r="K127" s="97">
        <v>0</v>
      </c>
      <c r="L127" s="97">
        <f>F127*K127</f>
        <v>0</v>
      </c>
      <c r="M127" s="98" t="s">
        <v>755</v>
      </c>
      <c r="N127" s="99">
        <f>IF(AE127="5",J127,0)</f>
        <v>0</v>
      </c>
      <c r="P127" s="99">
        <f>IF(AE127="1",H127,0)</f>
        <v>0</v>
      </c>
      <c r="Q127" s="99">
        <f>IF(AE127="1",I127,0)</f>
        <v>0</v>
      </c>
      <c r="R127" s="99">
        <f>IF(AE127="7",H127,0)</f>
        <v>0</v>
      </c>
      <c r="S127" s="99">
        <f>IF(AE127="7",I127,0)</f>
        <v>0</v>
      </c>
      <c r="T127" s="99">
        <f>IF(AE127="2",H127,0)</f>
        <v>0</v>
      </c>
      <c r="U127" s="99">
        <f>IF(AE127="2",I127,0)</f>
        <v>0</v>
      </c>
      <c r="V127" s="99">
        <f>IF(AE127="0",J127,0)</f>
        <v>0</v>
      </c>
      <c r="W127" s="90"/>
      <c r="X127" s="97">
        <f>IF(AB127=0,J127,0)</f>
        <v>0</v>
      </c>
      <c r="Y127" s="97">
        <f>IF(AB127=15,J127,0)</f>
        <v>0</v>
      </c>
      <c r="Z127" s="97">
        <f>IF(AB127=21,J127,0)</f>
        <v>0</v>
      </c>
      <c r="AB127" s="99">
        <v>0</v>
      </c>
      <c r="AC127" s="99">
        <f>G127*0</f>
        <v>0</v>
      </c>
      <c r="AD127" s="99">
        <f>G127*(1-0)</f>
        <v>0</v>
      </c>
      <c r="AE127" s="98" t="s">
        <v>1055</v>
      </c>
      <c r="AK127" s="99">
        <f>F127*AC127</f>
        <v>0</v>
      </c>
      <c r="AL127" s="99">
        <f>F127*AD127</f>
        <v>0</v>
      </c>
      <c r="AM127" s="100" t="s">
        <v>1062</v>
      </c>
      <c r="AN127" s="100" t="s">
        <v>1057</v>
      </c>
      <c r="AO127" s="90" t="s">
        <v>758</v>
      </c>
      <c r="AQ127" s="99">
        <f>AK127+AL127</f>
        <v>0</v>
      </c>
      <c r="AR127" s="99">
        <f>G127/(100-AS127)*100</f>
        <v>0</v>
      </c>
      <c r="AS127" s="99">
        <v>0</v>
      </c>
      <c r="AT127" s="99">
        <f>L127</f>
        <v>0</v>
      </c>
    </row>
    <row r="128" spans="1:46">
      <c r="A128" s="91"/>
      <c r="B128" s="92"/>
      <c r="C128" s="92" t="s">
        <v>1063</v>
      </c>
      <c r="D128" s="361" t="s">
        <v>954</v>
      </c>
      <c r="E128" s="362"/>
      <c r="F128" s="362"/>
      <c r="G128" s="362"/>
      <c r="H128" s="93">
        <f>SUM(H129:H129)</f>
        <v>0</v>
      </c>
      <c r="I128" s="93">
        <f>SUM(I129:I129)</f>
        <v>0</v>
      </c>
      <c r="J128" s="93">
        <f>H128+I128</f>
        <v>0</v>
      </c>
      <c r="K128" s="90"/>
      <c r="L128" s="93">
        <f>SUM(L129:L129)</f>
        <v>0</v>
      </c>
      <c r="M128" s="90"/>
      <c r="W128" s="90"/>
      <c r="AG128" s="93">
        <f>SUM(X129:X129)</f>
        <v>0</v>
      </c>
      <c r="AH128" s="93">
        <f>SUM(Y129:Y129)</f>
        <v>0</v>
      </c>
      <c r="AI128" s="93">
        <f>SUM(Z129:Z129)</f>
        <v>0</v>
      </c>
    </row>
    <row r="129" spans="1:46">
      <c r="A129" s="94" t="s">
        <v>1064</v>
      </c>
      <c r="B129" s="94"/>
      <c r="C129" s="94" t="s">
        <v>1065</v>
      </c>
      <c r="D129" s="95" t="s">
        <v>1066</v>
      </c>
      <c r="E129" s="95" t="s">
        <v>60</v>
      </c>
      <c r="F129" s="96">
        <v>1.3096000000000001</v>
      </c>
      <c r="G129" s="96"/>
      <c r="H129" s="97">
        <f>F129*AC129</f>
        <v>0</v>
      </c>
      <c r="I129" s="97">
        <f>J129-H129</f>
        <v>0</v>
      </c>
      <c r="J129" s="97">
        <f>F129*G129</f>
        <v>0</v>
      </c>
      <c r="K129" s="97">
        <v>0</v>
      </c>
      <c r="L129" s="97">
        <f>F129*K129</f>
        <v>0</v>
      </c>
      <c r="M129" s="98" t="s">
        <v>755</v>
      </c>
      <c r="N129" s="99">
        <f>IF(AE129="5",J129,0)</f>
        <v>0</v>
      </c>
      <c r="P129" s="99">
        <f>IF(AE129="1",H129,0)</f>
        <v>0</v>
      </c>
      <c r="Q129" s="99">
        <f>IF(AE129="1",I129,0)</f>
        <v>0</v>
      </c>
      <c r="R129" s="99">
        <f>IF(AE129="7",H129,0)</f>
        <v>0</v>
      </c>
      <c r="S129" s="99">
        <f>IF(AE129="7",I129,0)</f>
        <v>0</v>
      </c>
      <c r="T129" s="99">
        <f>IF(AE129="2",H129,0)</f>
        <v>0</v>
      </c>
      <c r="U129" s="99">
        <f>IF(AE129="2",I129,0)</f>
        <v>0</v>
      </c>
      <c r="V129" s="99">
        <f>IF(AE129="0",J129,0)</f>
        <v>0</v>
      </c>
      <c r="W129" s="90"/>
      <c r="X129" s="97">
        <f>IF(AB129=0,J129,0)</f>
        <v>0</v>
      </c>
      <c r="Y129" s="97">
        <f>IF(AB129=15,J129,0)</f>
        <v>0</v>
      </c>
      <c r="Z129" s="97">
        <f>IF(AB129=21,J129,0)</f>
        <v>0</v>
      </c>
      <c r="AB129" s="99">
        <v>0</v>
      </c>
      <c r="AC129" s="99">
        <f>G129*0</f>
        <v>0</v>
      </c>
      <c r="AD129" s="99">
        <f>G129*(1-0)</f>
        <v>0</v>
      </c>
      <c r="AE129" s="98" t="s">
        <v>1055</v>
      </c>
      <c r="AK129" s="99">
        <f>F129*AC129</f>
        <v>0</v>
      </c>
      <c r="AL129" s="99">
        <f>F129*AD129</f>
        <v>0</v>
      </c>
      <c r="AM129" s="100" t="s">
        <v>1067</v>
      </c>
      <c r="AN129" s="100" t="s">
        <v>1057</v>
      </c>
      <c r="AO129" s="90" t="s">
        <v>758</v>
      </c>
      <c r="AQ129" s="99">
        <f>AK129+AL129</f>
        <v>0</v>
      </c>
      <c r="AR129" s="99">
        <f>G129/(100-AS129)*100</f>
        <v>0</v>
      </c>
      <c r="AS129" s="99">
        <v>0</v>
      </c>
      <c r="AT129" s="99">
        <f>L129</f>
        <v>0</v>
      </c>
    </row>
    <row r="130" spans="1:46">
      <c r="A130" s="91"/>
      <c r="B130" s="92"/>
      <c r="C130" s="92" t="s">
        <v>1068</v>
      </c>
      <c r="D130" s="361" t="s">
        <v>1044</v>
      </c>
      <c r="E130" s="362"/>
      <c r="F130" s="362"/>
      <c r="G130" s="362"/>
      <c r="H130" s="93">
        <f>SUM(H131:H131)</f>
        <v>0</v>
      </c>
      <c r="I130" s="93">
        <f>SUM(I131:I131)</f>
        <v>0</v>
      </c>
      <c r="J130" s="93">
        <f>H130+I130</f>
        <v>0</v>
      </c>
      <c r="K130" s="90"/>
      <c r="L130" s="93">
        <f>SUM(L131:L131)</f>
        <v>0</v>
      </c>
      <c r="M130" s="90"/>
      <c r="W130" s="90"/>
      <c r="AG130" s="93">
        <f>SUM(X131:X131)</f>
        <v>0</v>
      </c>
      <c r="AH130" s="93">
        <f>SUM(Y131:Y131)</f>
        <v>0</v>
      </c>
      <c r="AI130" s="93">
        <f>SUM(Z131:Z131)</f>
        <v>0</v>
      </c>
    </row>
    <row r="131" spans="1:46">
      <c r="A131" s="104" t="s">
        <v>1069</v>
      </c>
      <c r="B131" s="104"/>
      <c r="C131" s="104" t="s">
        <v>1070</v>
      </c>
      <c r="D131" s="105" t="s">
        <v>1071</v>
      </c>
      <c r="E131" s="105" t="s">
        <v>60</v>
      </c>
      <c r="F131" s="106">
        <v>1.6E-2</v>
      </c>
      <c r="G131" s="106"/>
      <c r="H131" s="107">
        <f>F131*AC131</f>
        <v>0</v>
      </c>
      <c r="I131" s="107">
        <f>J131-H131</f>
        <v>0</v>
      </c>
      <c r="J131" s="107">
        <f>F131*G131</f>
        <v>0</v>
      </c>
      <c r="K131" s="107">
        <v>0</v>
      </c>
      <c r="L131" s="107">
        <f>F131*K131</f>
        <v>0</v>
      </c>
      <c r="M131" s="108" t="s">
        <v>755</v>
      </c>
      <c r="N131" s="99">
        <f>IF(AE131="5",J131,0)</f>
        <v>0</v>
      </c>
      <c r="P131" s="99">
        <f>IF(AE131="1",H131,0)</f>
        <v>0</v>
      </c>
      <c r="Q131" s="99">
        <f>IF(AE131="1",I131,0)</f>
        <v>0</v>
      </c>
      <c r="R131" s="99">
        <f>IF(AE131="7",H131,0)</f>
        <v>0</v>
      </c>
      <c r="S131" s="99">
        <f>IF(AE131="7",I131,0)</f>
        <v>0</v>
      </c>
      <c r="T131" s="99">
        <f>IF(AE131="2",H131,0)</f>
        <v>0</v>
      </c>
      <c r="U131" s="99">
        <f>IF(AE131="2",I131,0)</f>
        <v>0</v>
      </c>
      <c r="V131" s="99">
        <f>IF(AE131="0",J131,0)</f>
        <v>0</v>
      </c>
      <c r="W131" s="90"/>
      <c r="X131" s="97">
        <f>IF(AB131=0,J131,0)</f>
        <v>0</v>
      </c>
      <c r="Y131" s="97">
        <f>IF(AB131=15,J131,0)</f>
        <v>0</v>
      </c>
      <c r="Z131" s="97">
        <f>IF(AB131=21,J131,0)</f>
        <v>0</v>
      </c>
      <c r="AB131" s="99">
        <v>0</v>
      </c>
      <c r="AC131" s="99">
        <f>G131*0</f>
        <v>0</v>
      </c>
      <c r="AD131" s="99">
        <f>G131*(1-0)</f>
        <v>0</v>
      </c>
      <c r="AE131" s="98" t="s">
        <v>1055</v>
      </c>
      <c r="AK131" s="99">
        <f>F131*AC131</f>
        <v>0</v>
      </c>
      <c r="AL131" s="99">
        <f>F131*AD131</f>
        <v>0</v>
      </c>
      <c r="AM131" s="100" t="s">
        <v>1072</v>
      </c>
      <c r="AN131" s="100" t="s">
        <v>1057</v>
      </c>
      <c r="AO131" s="90" t="s">
        <v>758</v>
      </c>
      <c r="AQ131" s="99">
        <f>AK131+AL131</f>
        <v>0</v>
      </c>
      <c r="AR131" s="99">
        <f>G131/(100-AS131)*100</f>
        <v>0</v>
      </c>
      <c r="AS131" s="99">
        <v>0</v>
      </c>
      <c r="AT131" s="99">
        <f>L131</f>
        <v>0</v>
      </c>
    </row>
    <row r="132" spans="1:46">
      <c r="A132" s="109"/>
      <c r="B132" s="109"/>
      <c r="C132" s="109"/>
      <c r="D132" s="110"/>
      <c r="E132" s="110"/>
      <c r="F132" s="110"/>
      <c r="G132" s="110"/>
      <c r="H132" s="363" t="s">
        <v>1073</v>
      </c>
      <c r="I132" s="364"/>
      <c r="J132" s="111">
        <f>J12+J41+J91+J122+J124+J126+J128+J130</f>
        <v>0</v>
      </c>
      <c r="K132" s="111">
        <f t="shared" ref="K132:L132" si="60">K12+K41+K91+K122+K124+K126+K128+K130</f>
        <v>0</v>
      </c>
      <c r="L132" s="111">
        <f t="shared" si="60"/>
        <v>2.3968399999999996</v>
      </c>
      <c r="M132" s="111"/>
    </row>
    <row r="133" spans="1:46" ht="11.25" customHeight="1">
      <c r="A133" s="112" t="s">
        <v>1074</v>
      </c>
      <c r="D133" s="102"/>
      <c r="E133" s="102"/>
      <c r="F133" s="102"/>
      <c r="G133" s="102"/>
    </row>
    <row r="134" spans="1:46" ht="409.6" hidden="1" customHeight="1">
      <c r="A134" s="339"/>
      <c r="B134" s="340"/>
      <c r="C134" s="340"/>
      <c r="D134" s="340"/>
      <c r="E134" s="340"/>
      <c r="F134" s="340"/>
      <c r="G134" s="340"/>
      <c r="H134" s="340"/>
      <c r="I134" s="340"/>
      <c r="J134" s="340"/>
      <c r="K134" s="340"/>
      <c r="L134" s="340"/>
      <c r="M134" s="340"/>
    </row>
  </sheetData>
  <mergeCells count="37">
    <mergeCell ref="A134:M134"/>
    <mergeCell ref="H10:J10"/>
    <mergeCell ref="K10:L10"/>
    <mergeCell ref="D12:G12"/>
    <mergeCell ref="D41:G41"/>
    <mergeCell ref="D91:G91"/>
    <mergeCell ref="D122:G122"/>
    <mergeCell ref="D124:G124"/>
    <mergeCell ref="D126:G126"/>
    <mergeCell ref="D128:G128"/>
    <mergeCell ref="D130:G130"/>
    <mergeCell ref="H132:I132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rintOptions gridLines="1"/>
  <pageMargins left="0.39370078740157483" right="0.39370078740157483" top="0.59055118110236227" bottom="0.59055118110236227" header="0.51181102362204722" footer="0.51181102362204722"/>
  <pageSetup paperSize="9" scale="56" fitToHeight="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6"/>
  <sheetViews>
    <sheetView workbookViewId="0">
      <selection activeCell="J62" sqref="J62"/>
    </sheetView>
  </sheetViews>
  <sheetFormatPr defaultColWidth="11.5703125" defaultRowHeight="12.75"/>
  <cols>
    <col min="1" max="1" width="3.7109375" style="76" customWidth="1"/>
    <col min="2" max="2" width="6.85546875" style="76" customWidth="1"/>
    <col min="3" max="3" width="13.85546875" style="76" bestFit="1" customWidth="1"/>
    <col min="4" max="4" width="86.28515625" style="102" customWidth="1"/>
    <col min="5" max="5" width="5.140625" style="76" customWidth="1"/>
    <col min="6" max="6" width="12.85546875" style="76" customWidth="1"/>
    <col min="7" max="7" width="12" style="76" customWidth="1"/>
    <col min="8" max="10" width="14.28515625" style="76" customWidth="1"/>
    <col min="11" max="13" width="11.7109375" style="76" customWidth="1"/>
    <col min="14" max="14" width="11.5703125" style="76" customWidth="1"/>
    <col min="15" max="15" width="12.140625" style="76" customWidth="1"/>
    <col min="16" max="48" width="12.140625" style="76" hidden="1" customWidth="1"/>
    <col min="49" max="50" width="0" style="76" hidden="1" customWidth="1"/>
    <col min="51" max="256" width="11.5703125" style="76"/>
    <col min="257" max="257" width="3.7109375" style="76" customWidth="1"/>
    <col min="258" max="258" width="6.85546875" style="76" customWidth="1"/>
    <col min="259" max="259" width="13.28515625" style="76" customWidth="1"/>
    <col min="260" max="260" width="98" style="76" customWidth="1"/>
    <col min="261" max="261" width="5.140625" style="76" customWidth="1"/>
    <col min="262" max="262" width="12.85546875" style="76" customWidth="1"/>
    <col min="263" max="263" width="12" style="76" customWidth="1"/>
    <col min="264" max="266" width="14.28515625" style="76" customWidth="1"/>
    <col min="267" max="269" width="11.7109375" style="76" customWidth="1"/>
    <col min="270" max="304" width="0" style="76" hidden="1" customWidth="1"/>
    <col min="305" max="512" width="11.5703125" style="76"/>
    <col min="513" max="513" width="3.7109375" style="76" customWidth="1"/>
    <col min="514" max="514" width="6.85546875" style="76" customWidth="1"/>
    <col min="515" max="515" width="13.28515625" style="76" customWidth="1"/>
    <col min="516" max="516" width="98" style="76" customWidth="1"/>
    <col min="517" max="517" width="5.140625" style="76" customWidth="1"/>
    <col min="518" max="518" width="12.85546875" style="76" customWidth="1"/>
    <col min="519" max="519" width="12" style="76" customWidth="1"/>
    <col min="520" max="522" width="14.28515625" style="76" customWidth="1"/>
    <col min="523" max="525" width="11.7109375" style="76" customWidth="1"/>
    <col min="526" max="560" width="0" style="76" hidden="1" customWidth="1"/>
    <col min="561" max="768" width="11.5703125" style="76"/>
    <col min="769" max="769" width="3.7109375" style="76" customWidth="1"/>
    <col min="770" max="770" width="6.85546875" style="76" customWidth="1"/>
    <col min="771" max="771" width="13.28515625" style="76" customWidth="1"/>
    <col min="772" max="772" width="98" style="76" customWidth="1"/>
    <col min="773" max="773" width="5.140625" style="76" customWidth="1"/>
    <col min="774" max="774" width="12.85546875" style="76" customWidth="1"/>
    <col min="775" max="775" width="12" style="76" customWidth="1"/>
    <col min="776" max="778" width="14.28515625" style="76" customWidth="1"/>
    <col min="779" max="781" width="11.7109375" style="76" customWidth="1"/>
    <col min="782" max="816" width="0" style="76" hidden="1" customWidth="1"/>
    <col min="817" max="1024" width="11.5703125" style="76"/>
    <col min="1025" max="1025" width="3.7109375" style="76" customWidth="1"/>
    <col min="1026" max="1026" width="6.85546875" style="76" customWidth="1"/>
    <col min="1027" max="1027" width="13.28515625" style="76" customWidth="1"/>
    <col min="1028" max="1028" width="98" style="76" customWidth="1"/>
    <col min="1029" max="1029" width="5.140625" style="76" customWidth="1"/>
    <col min="1030" max="1030" width="12.85546875" style="76" customWidth="1"/>
    <col min="1031" max="1031" width="12" style="76" customWidth="1"/>
    <col min="1032" max="1034" width="14.28515625" style="76" customWidth="1"/>
    <col min="1035" max="1037" width="11.7109375" style="76" customWidth="1"/>
    <col min="1038" max="1072" width="0" style="76" hidden="1" customWidth="1"/>
    <col min="1073" max="1280" width="11.5703125" style="76"/>
    <col min="1281" max="1281" width="3.7109375" style="76" customWidth="1"/>
    <col min="1282" max="1282" width="6.85546875" style="76" customWidth="1"/>
    <col min="1283" max="1283" width="13.28515625" style="76" customWidth="1"/>
    <col min="1284" max="1284" width="98" style="76" customWidth="1"/>
    <col min="1285" max="1285" width="5.140625" style="76" customWidth="1"/>
    <col min="1286" max="1286" width="12.85546875" style="76" customWidth="1"/>
    <col min="1287" max="1287" width="12" style="76" customWidth="1"/>
    <col min="1288" max="1290" width="14.28515625" style="76" customWidth="1"/>
    <col min="1291" max="1293" width="11.7109375" style="76" customWidth="1"/>
    <col min="1294" max="1328" width="0" style="76" hidden="1" customWidth="1"/>
    <col min="1329" max="1536" width="11.5703125" style="76"/>
    <col min="1537" max="1537" width="3.7109375" style="76" customWidth="1"/>
    <col min="1538" max="1538" width="6.85546875" style="76" customWidth="1"/>
    <col min="1539" max="1539" width="13.28515625" style="76" customWidth="1"/>
    <col min="1540" max="1540" width="98" style="76" customWidth="1"/>
    <col min="1541" max="1541" width="5.140625" style="76" customWidth="1"/>
    <col min="1542" max="1542" width="12.85546875" style="76" customWidth="1"/>
    <col min="1543" max="1543" width="12" style="76" customWidth="1"/>
    <col min="1544" max="1546" width="14.28515625" style="76" customWidth="1"/>
    <col min="1547" max="1549" width="11.7109375" style="76" customWidth="1"/>
    <col min="1550" max="1584" width="0" style="76" hidden="1" customWidth="1"/>
    <col min="1585" max="1792" width="11.5703125" style="76"/>
    <col min="1793" max="1793" width="3.7109375" style="76" customWidth="1"/>
    <col min="1794" max="1794" width="6.85546875" style="76" customWidth="1"/>
    <col min="1795" max="1795" width="13.28515625" style="76" customWidth="1"/>
    <col min="1796" max="1796" width="98" style="76" customWidth="1"/>
    <col min="1797" max="1797" width="5.140625" style="76" customWidth="1"/>
    <col min="1798" max="1798" width="12.85546875" style="76" customWidth="1"/>
    <col min="1799" max="1799" width="12" style="76" customWidth="1"/>
    <col min="1800" max="1802" width="14.28515625" style="76" customWidth="1"/>
    <col min="1803" max="1805" width="11.7109375" style="76" customWidth="1"/>
    <col min="1806" max="1840" width="0" style="76" hidden="1" customWidth="1"/>
    <col min="1841" max="2048" width="11.5703125" style="76"/>
    <col min="2049" max="2049" width="3.7109375" style="76" customWidth="1"/>
    <col min="2050" max="2050" width="6.85546875" style="76" customWidth="1"/>
    <col min="2051" max="2051" width="13.28515625" style="76" customWidth="1"/>
    <col min="2052" max="2052" width="98" style="76" customWidth="1"/>
    <col min="2053" max="2053" width="5.140625" style="76" customWidth="1"/>
    <col min="2054" max="2054" width="12.85546875" style="76" customWidth="1"/>
    <col min="2055" max="2055" width="12" style="76" customWidth="1"/>
    <col min="2056" max="2058" width="14.28515625" style="76" customWidth="1"/>
    <col min="2059" max="2061" width="11.7109375" style="76" customWidth="1"/>
    <col min="2062" max="2096" width="0" style="76" hidden="1" customWidth="1"/>
    <col min="2097" max="2304" width="11.5703125" style="76"/>
    <col min="2305" max="2305" width="3.7109375" style="76" customWidth="1"/>
    <col min="2306" max="2306" width="6.85546875" style="76" customWidth="1"/>
    <col min="2307" max="2307" width="13.28515625" style="76" customWidth="1"/>
    <col min="2308" max="2308" width="98" style="76" customWidth="1"/>
    <col min="2309" max="2309" width="5.140625" style="76" customWidth="1"/>
    <col min="2310" max="2310" width="12.85546875" style="76" customWidth="1"/>
    <col min="2311" max="2311" width="12" style="76" customWidth="1"/>
    <col min="2312" max="2314" width="14.28515625" style="76" customWidth="1"/>
    <col min="2315" max="2317" width="11.7109375" style="76" customWidth="1"/>
    <col min="2318" max="2352" width="0" style="76" hidden="1" customWidth="1"/>
    <col min="2353" max="2560" width="11.5703125" style="76"/>
    <col min="2561" max="2561" width="3.7109375" style="76" customWidth="1"/>
    <col min="2562" max="2562" width="6.85546875" style="76" customWidth="1"/>
    <col min="2563" max="2563" width="13.28515625" style="76" customWidth="1"/>
    <col min="2564" max="2564" width="98" style="76" customWidth="1"/>
    <col min="2565" max="2565" width="5.140625" style="76" customWidth="1"/>
    <col min="2566" max="2566" width="12.85546875" style="76" customWidth="1"/>
    <col min="2567" max="2567" width="12" style="76" customWidth="1"/>
    <col min="2568" max="2570" width="14.28515625" style="76" customWidth="1"/>
    <col min="2571" max="2573" width="11.7109375" style="76" customWidth="1"/>
    <col min="2574" max="2608" width="0" style="76" hidden="1" customWidth="1"/>
    <col min="2609" max="2816" width="11.5703125" style="76"/>
    <col min="2817" max="2817" width="3.7109375" style="76" customWidth="1"/>
    <col min="2818" max="2818" width="6.85546875" style="76" customWidth="1"/>
    <col min="2819" max="2819" width="13.28515625" style="76" customWidth="1"/>
    <col min="2820" max="2820" width="98" style="76" customWidth="1"/>
    <col min="2821" max="2821" width="5.140625" style="76" customWidth="1"/>
    <col min="2822" max="2822" width="12.85546875" style="76" customWidth="1"/>
    <col min="2823" max="2823" width="12" style="76" customWidth="1"/>
    <col min="2824" max="2826" width="14.28515625" style="76" customWidth="1"/>
    <col min="2827" max="2829" width="11.7109375" style="76" customWidth="1"/>
    <col min="2830" max="2864" width="0" style="76" hidden="1" customWidth="1"/>
    <col min="2865" max="3072" width="11.5703125" style="76"/>
    <col min="3073" max="3073" width="3.7109375" style="76" customWidth="1"/>
    <col min="3074" max="3074" width="6.85546875" style="76" customWidth="1"/>
    <col min="3075" max="3075" width="13.28515625" style="76" customWidth="1"/>
    <col min="3076" max="3076" width="98" style="76" customWidth="1"/>
    <col min="3077" max="3077" width="5.140625" style="76" customWidth="1"/>
    <col min="3078" max="3078" width="12.85546875" style="76" customWidth="1"/>
    <col min="3079" max="3079" width="12" style="76" customWidth="1"/>
    <col min="3080" max="3082" width="14.28515625" style="76" customWidth="1"/>
    <col min="3083" max="3085" width="11.7109375" style="76" customWidth="1"/>
    <col min="3086" max="3120" width="0" style="76" hidden="1" customWidth="1"/>
    <col min="3121" max="3328" width="11.5703125" style="76"/>
    <col min="3329" max="3329" width="3.7109375" style="76" customWidth="1"/>
    <col min="3330" max="3330" width="6.85546875" style="76" customWidth="1"/>
    <col min="3331" max="3331" width="13.28515625" style="76" customWidth="1"/>
    <col min="3332" max="3332" width="98" style="76" customWidth="1"/>
    <col min="3333" max="3333" width="5.140625" style="76" customWidth="1"/>
    <col min="3334" max="3334" width="12.85546875" style="76" customWidth="1"/>
    <col min="3335" max="3335" width="12" style="76" customWidth="1"/>
    <col min="3336" max="3338" width="14.28515625" style="76" customWidth="1"/>
    <col min="3339" max="3341" width="11.7109375" style="76" customWidth="1"/>
    <col min="3342" max="3376" width="0" style="76" hidden="1" customWidth="1"/>
    <col min="3377" max="3584" width="11.5703125" style="76"/>
    <col min="3585" max="3585" width="3.7109375" style="76" customWidth="1"/>
    <col min="3586" max="3586" width="6.85546875" style="76" customWidth="1"/>
    <col min="3587" max="3587" width="13.28515625" style="76" customWidth="1"/>
    <col min="3588" max="3588" width="98" style="76" customWidth="1"/>
    <col min="3589" max="3589" width="5.140625" style="76" customWidth="1"/>
    <col min="3590" max="3590" width="12.85546875" style="76" customWidth="1"/>
    <col min="3591" max="3591" width="12" style="76" customWidth="1"/>
    <col min="3592" max="3594" width="14.28515625" style="76" customWidth="1"/>
    <col min="3595" max="3597" width="11.7109375" style="76" customWidth="1"/>
    <col min="3598" max="3632" width="0" style="76" hidden="1" customWidth="1"/>
    <col min="3633" max="3840" width="11.5703125" style="76"/>
    <col min="3841" max="3841" width="3.7109375" style="76" customWidth="1"/>
    <col min="3842" max="3842" width="6.85546875" style="76" customWidth="1"/>
    <col min="3843" max="3843" width="13.28515625" style="76" customWidth="1"/>
    <col min="3844" max="3844" width="98" style="76" customWidth="1"/>
    <col min="3845" max="3845" width="5.140625" style="76" customWidth="1"/>
    <col min="3846" max="3846" width="12.85546875" style="76" customWidth="1"/>
    <col min="3847" max="3847" width="12" style="76" customWidth="1"/>
    <col min="3848" max="3850" width="14.28515625" style="76" customWidth="1"/>
    <col min="3851" max="3853" width="11.7109375" style="76" customWidth="1"/>
    <col min="3854" max="3888" width="0" style="76" hidden="1" customWidth="1"/>
    <col min="3889" max="4096" width="11.5703125" style="76"/>
    <col min="4097" max="4097" width="3.7109375" style="76" customWidth="1"/>
    <col min="4098" max="4098" width="6.85546875" style="76" customWidth="1"/>
    <col min="4099" max="4099" width="13.28515625" style="76" customWidth="1"/>
    <col min="4100" max="4100" width="98" style="76" customWidth="1"/>
    <col min="4101" max="4101" width="5.140625" style="76" customWidth="1"/>
    <col min="4102" max="4102" width="12.85546875" style="76" customWidth="1"/>
    <col min="4103" max="4103" width="12" style="76" customWidth="1"/>
    <col min="4104" max="4106" width="14.28515625" style="76" customWidth="1"/>
    <col min="4107" max="4109" width="11.7109375" style="76" customWidth="1"/>
    <col min="4110" max="4144" width="0" style="76" hidden="1" customWidth="1"/>
    <col min="4145" max="4352" width="11.5703125" style="76"/>
    <col min="4353" max="4353" width="3.7109375" style="76" customWidth="1"/>
    <col min="4354" max="4354" width="6.85546875" style="76" customWidth="1"/>
    <col min="4355" max="4355" width="13.28515625" style="76" customWidth="1"/>
    <col min="4356" max="4356" width="98" style="76" customWidth="1"/>
    <col min="4357" max="4357" width="5.140625" style="76" customWidth="1"/>
    <col min="4358" max="4358" width="12.85546875" style="76" customWidth="1"/>
    <col min="4359" max="4359" width="12" style="76" customWidth="1"/>
    <col min="4360" max="4362" width="14.28515625" style="76" customWidth="1"/>
    <col min="4363" max="4365" width="11.7109375" style="76" customWidth="1"/>
    <col min="4366" max="4400" width="0" style="76" hidden="1" customWidth="1"/>
    <col min="4401" max="4608" width="11.5703125" style="76"/>
    <col min="4609" max="4609" width="3.7109375" style="76" customWidth="1"/>
    <col min="4610" max="4610" width="6.85546875" style="76" customWidth="1"/>
    <col min="4611" max="4611" width="13.28515625" style="76" customWidth="1"/>
    <col min="4612" max="4612" width="98" style="76" customWidth="1"/>
    <col min="4613" max="4613" width="5.140625" style="76" customWidth="1"/>
    <col min="4614" max="4614" width="12.85546875" style="76" customWidth="1"/>
    <col min="4615" max="4615" width="12" style="76" customWidth="1"/>
    <col min="4616" max="4618" width="14.28515625" style="76" customWidth="1"/>
    <col min="4619" max="4621" width="11.7109375" style="76" customWidth="1"/>
    <col min="4622" max="4656" width="0" style="76" hidden="1" customWidth="1"/>
    <col min="4657" max="4864" width="11.5703125" style="76"/>
    <col min="4865" max="4865" width="3.7109375" style="76" customWidth="1"/>
    <col min="4866" max="4866" width="6.85546875" style="76" customWidth="1"/>
    <col min="4867" max="4867" width="13.28515625" style="76" customWidth="1"/>
    <col min="4868" max="4868" width="98" style="76" customWidth="1"/>
    <col min="4869" max="4869" width="5.140625" style="76" customWidth="1"/>
    <col min="4870" max="4870" width="12.85546875" style="76" customWidth="1"/>
    <col min="4871" max="4871" width="12" style="76" customWidth="1"/>
    <col min="4872" max="4874" width="14.28515625" style="76" customWidth="1"/>
    <col min="4875" max="4877" width="11.7109375" style="76" customWidth="1"/>
    <col min="4878" max="4912" width="0" style="76" hidden="1" customWidth="1"/>
    <col min="4913" max="5120" width="11.5703125" style="76"/>
    <col min="5121" max="5121" width="3.7109375" style="76" customWidth="1"/>
    <col min="5122" max="5122" width="6.85546875" style="76" customWidth="1"/>
    <col min="5123" max="5123" width="13.28515625" style="76" customWidth="1"/>
    <col min="5124" max="5124" width="98" style="76" customWidth="1"/>
    <col min="5125" max="5125" width="5.140625" style="76" customWidth="1"/>
    <col min="5126" max="5126" width="12.85546875" style="76" customWidth="1"/>
    <col min="5127" max="5127" width="12" style="76" customWidth="1"/>
    <col min="5128" max="5130" width="14.28515625" style="76" customWidth="1"/>
    <col min="5131" max="5133" width="11.7109375" style="76" customWidth="1"/>
    <col min="5134" max="5168" width="0" style="76" hidden="1" customWidth="1"/>
    <col min="5169" max="5376" width="11.5703125" style="76"/>
    <col min="5377" max="5377" width="3.7109375" style="76" customWidth="1"/>
    <col min="5378" max="5378" width="6.85546875" style="76" customWidth="1"/>
    <col min="5379" max="5379" width="13.28515625" style="76" customWidth="1"/>
    <col min="5380" max="5380" width="98" style="76" customWidth="1"/>
    <col min="5381" max="5381" width="5.140625" style="76" customWidth="1"/>
    <col min="5382" max="5382" width="12.85546875" style="76" customWidth="1"/>
    <col min="5383" max="5383" width="12" style="76" customWidth="1"/>
    <col min="5384" max="5386" width="14.28515625" style="76" customWidth="1"/>
    <col min="5387" max="5389" width="11.7109375" style="76" customWidth="1"/>
    <col min="5390" max="5424" width="0" style="76" hidden="1" customWidth="1"/>
    <col min="5425" max="5632" width="11.5703125" style="76"/>
    <col min="5633" max="5633" width="3.7109375" style="76" customWidth="1"/>
    <col min="5634" max="5634" width="6.85546875" style="76" customWidth="1"/>
    <col min="5635" max="5635" width="13.28515625" style="76" customWidth="1"/>
    <col min="5636" max="5636" width="98" style="76" customWidth="1"/>
    <col min="5637" max="5637" width="5.140625" style="76" customWidth="1"/>
    <col min="5638" max="5638" width="12.85546875" style="76" customWidth="1"/>
    <col min="5639" max="5639" width="12" style="76" customWidth="1"/>
    <col min="5640" max="5642" width="14.28515625" style="76" customWidth="1"/>
    <col min="5643" max="5645" width="11.7109375" style="76" customWidth="1"/>
    <col min="5646" max="5680" width="0" style="76" hidden="1" customWidth="1"/>
    <col min="5681" max="5888" width="11.5703125" style="76"/>
    <col min="5889" max="5889" width="3.7109375" style="76" customWidth="1"/>
    <col min="5890" max="5890" width="6.85546875" style="76" customWidth="1"/>
    <col min="5891" max="5891" width="13.28515625" style="76" customWidth="1"/>
    <col min="5892" max="5892" width="98" style="76" customWidth="1"/>
    <col min="5893" max="5893" width="5.140625" style="76" customWidth="1"/>
    <col min="5894" max="5894" width="12.85546875" style="76" customWidth="1"/>
    <col min="5895" max="5895" width="12" style="76" customWidth="1"/>
    <col min="5896" max="5898" width="14.28515625" style="76" customWidth="1"/>
    <col min="5899" max="5901" width="11.7109375" style="76" customWidth="1"/>
    <col min="5902" max="5936" width="0" style="76" hidden="1" customWidth="1"/>
    <col min="5937" max="6144" width="11.5703125" style="76"/>
    <col min="6145" max="6145" width="3.7109375" style="76" customWidth="1"/>
    <col min="6146" max="6146" width="6.85546875" style="76" customWidth="1"/>
    <col min="6147" max="6147" width="13.28515625" style="76" customWidth="1"/>
    <col min="6148" max="6148" width="98" style="76" customWidth="1"/>
    <col min="6149" max="6149" width="5.140625" style="76" customWidth="1"/>
    <col min="6150" max="6150" width="12.85546875" style="76" customWidth="1"/>
    <col min="6151" max="6151" width="12" style="76" customWidth="1"/>
    <col min="6152" max="6154" width="14.28515625" style="76" customWidth="1"/>
    <col min="6155" max="6157" width="11.7109375" style="76" customWidth="1"/>
    <col min="6158" max="6192" width="0" style="76" hidden="1" customWidth="1"/>
    <col min="6193" max="6400" width="11.5703125" style="76"/>
    <col min="6401" max="6401" width="3.7109375" style="76" customWidth="1"/>
    <col min="6402" max="6402" width="6.85546875" style="76" customWidth="1"/>
    <col min="6403" max="6403" width="13.28515625" style="76" customWidth="1"/>
    <col min="6404" max="6404" width="98" style="76" customWidth="1"/>
    <col min="6405" max="6405" width="5.140625" style="76" customWidth="1"/>
    <col min="6406" max="6406" width="12.85546875" style="76" customWidth="1"/>
    <col min="6407" max="6407" width="12" style="76" customWidth="1"/>
    <col min="6408" max="6410" width="14.28515625" style="76" customWidth="1"/>
    <col min="6411" max="6413" width="11.7109375" style="76" customWidth="1"/>
    <col min="6414" max="6448" width="0" style="76" hidden="1" customWidth="1"/>
    <col min="6449" max="6656" width="11.5703125" style="76"/>
    <col min="6657" max="6657" width="3.7109375" style="76" customWidth="1"/>
    <col min="6658" max="6658" width="6.85546875" style="76" customWidth="1"/>
    <col min="6659" max="6659" width="13.28515625" style="76" customWidth="1"/>
    <col min="6660" max="6660" width="98" style="76" customWidth="1"/>
    <col min="6661" max="6661" width="5.140625" style="76" customWidth="1"/>
    <col min="6662" max="6662" width="12.85546875" style="76" customWidth="1"/>
    <col min="6663" max="6663" width="12" style="76" customWidth="1"/>
    <col min="6664" max="6666" width="14.28515625" style="76" customWidth="1"/>
    <col min="6667" max="6669" width="11.7109375" style="76" customWidth="1"/>
    <col min="6670" max="6704" width="0" style="76" hidden="1" customWidth="1"/>
    <col min="6705" max="6912" width="11.5703125" style="76"/>
    <col min="6913" max="6913" width="3.7109375" style="76" customWidth="1"/>
    <col min="6914" max="6914" width="6.85546875" style="76" customWidth="1"/>
    <col min="6915" max="6915" width="13.28515625" style="76" customWidth="1"/>
    <col min="6916" max="6916" width="98" style="76" customWidth="1"/>
    <col min="6917" max="6917" width="5.140625" style="76" customWidth="1"/>
    <col min="6918" max="6918" width="12.85546875" style="76" customWidth="1"/>
    <col min="6919" max="6919" width="12" style="76" customWidth="1"/>
    <col min="6920" max="6922" width="14.28515625" style="76" customWidth="1"/>
    <col min="6923" max="6925" width="11.7109375" style="76" customWidth="1"/>
    <col min="6926" max="6960" width="0" style="76" hidden="1" customWidth="1"/>
    <col min="6961" max="7168" width="11.5703125" style="76"/>
    <col min="7169" max="7169" width="3.7109375" style="76" customWidth="1"/>
    <col min="7170" max="7170" width="6.85546875" style="76" customWidth="1"/>
    <col min="7171" max="7171" width="13.28515625" style="76" customWidth="1"/>
    <col min="7172" max="7172" width="98" style="76" customWidth="1"/>
    <col min="7173" max="7173" width="5.140625" style="76" customWidth="1"/>
    <col min="7174" max="7174" width="12.85546875" style="76" customWidth="1"/>
    <col min="7175" max="7175" width="12" style="76" customWidth="1"/>
    <col min="7176" max="7178" width="14.28515625" style="76" customWidth="1"/>
    <col min="7179" max="7181" width="11.7109375" style="76" customWidth="1"/>
    <col min="7182" max="7216" width="0" style="76" hidden="1" customWidth="1"/>
    <col min="7217" max="7424" width="11.5703125" style="76"/>
    <col min="7425" max="7425" width="3.7109375" style="76" customWidth="1"/>
    <col min="7426" max="7426" width="6.85546875" style="76" customWidth="1"/>
    <col min="7427" max="7427" width="13.28515625" style="76" customWidth="1"/>
    <col min="7428" max="7428" width="98" style="76" customWidth="1"/>
    <col min="7429" max="7429" width="5.140625" style="76" customWidth="1"/>
    <col min="7430" max="7430" width="12.85546875" style="76" customWidth="1"/>
    <col min="7431" max="7431" width="12" style="76" customWidth="1"/>
    <col min="7432" max="7434" width="14.28515625" style="76" customWidth="1"/>
    <col min="7435" max="7437" width="11.7109375" style="76" customWidth="1"/>
    <col min="7438" max="7472" width="0" style="76" hidden="1" customWidth="1"/>
    <col min="7473" max="7680" width="11.5703125" style="76"/>
    <col min="7681" max="7681" width="3.7109375" style="76" customWidth="1"/>
    <col min="7682" max="7682" width="6.85546875" style="76" customWidth="1"/>
    <col min="7683" max="7683" width="13.28515625" style="76" customWidth="1"/>
    <col min="7684" max="7684" width="98" style="76" customWidth="1"/>
    <col min="7685" max="7685" width="5.140625" style="76" customWidth="1"/>
    <col min="7686" max="7686" width="12.85546875" style="76" customWidth="1"/>
    <col min="7687" max="7687" width="12" style="76" customWidth="1"/>
    <col min="7688" max="7690" width="14.28515625" style="76" customWidth="1"/>
    <col min="7691" max="7693" width="11.7109375" style="76" customWidth="1"/>
    <col min="7694" max="7728" width="0" style="76" hidden="1" customWidth="1"/>
    <col min="7729" max="7936" width="11.5703125" style="76"/>
    <col min="7937" max="7937" width="3.7109375" style="76" customWidth="1"/>
    <col min="7938" max="7938" width="6.85546875" style="76" customWidth="1"/>
    <col min="7939" max="7939" width="13.28515625" style="76" customWidth="1"/>
    <col min="7940" max="7940" width="98" style="76" customWidth="1"/>
    <col min="7941" max="7941" width="5.140625" style="76" customWidth="1"/>
    <col min="7942" max="7942" width="12.85546875" style="76" customWidth="1"/>
    <col min="7943" max="7943" width="12" style="76" customWidth="1"/>
    <col min="7944" max="7946" width="14.28515625" style="76" customWidth="1"/>
    <col min="7947" max="7949" width="11.7109375" style="76" customWidth="1"/>
    <col min="7950" max="7984" width="0" style="76" hidden="1" customWidth="1"/>
    <col min="7985" max="8192" width="11.5703125" style="76"/>
    <col min="8193" max="8193" width="3.7109375" style="76" customWidth="1"/>
    <col min="8194" max="8194" width="6.85546875" style="76" customWidth="1"/>
    <col min="8195" max="8195" width="13.28515625" style="76" customWidth="1"/>
    <col min="8196" max="8196" width="98" style="76" customWidth="1"/>
    <col min="8197" max="8197" width="5.140625" style="76" customWidth="1"/>
    <col min="8198" max="8198" width="12.85546875" style="76" customWidth="1"/>
    <col min="8199" max="8199" width="12" style="76" customWidth="1"/>
    <col min="8200" max="8202" width="14.28515625" style="76" customWidth="1"/>
    <col min="8203" max="8205" width="11.7109375" style="76" customWidth="1"/>
    <col min="8206" max="8240" width="0" style="76" hidden="1" customWidth="1"/>
    <col min="8241" max="8448" width="11.5703125" style="76"/>
    <col min="8449" max="8449" width="3.7109375" style="76" customWidth="1"/>
    <col min="8450" max="8450" width="6.85546875" style="76" customWidth="1"/>
    <col min="8451" max="8451" width="13.28515625" style="76" customWidth="1"/>
    <col min="8452" max="8452" width="98" style="76" customWidth="1"/>
    <col min="8453" max="8453" width="5.140625" style="76" customWidth="1"/>
    <col min="8454" max="8454" width="12.85546875" style="76" customWidth="1"/>
    <col min="8455" max="8455" width="12" style="76" customWidth="1"/>
    <col min="8456" max="8458" width="14.28515625" style="76" customWidth="1"/>
    <col min="8459" max="8461" width="11.7109375" style="76" customWidth="1"/>
    <col min="8462" max="8496" width="0" style="76" hidden="1" customWidth="1"/>
    <col min="8497" max="8704" width="11.5703125" style="76"/>
    <col min="8705" max="8705" width="3.7109375" style="76" customWidth="1"/>
    <col min="8706" max="8706" width="6.85546875" style="76" customWidth="1"/>
    <col min="8707" max="8707" width="13.28515625" style="76" customWidth="1"/>
    <col min="8708" max="8708" width="98" style="76" customWidth="1"/>
    <col min="8709" max="8709" width="5.140625" style="76" customWidth="1"/>
    <col min="8710" max="8710" width="12.85546875" style="76" customWidth="1"/>
    <col min="8711" max="8711" width="12" style="76" customWidth="1"/>
    <col min="8712" max="8714" width="14.28515625" style="76" customWidth="1"/>
    <col min="8715" max="8717" width="11.7109375" style="76" customWidth="1"/>
    <col min="8718" max="8752" width="0" style="76" hidden="1" customWidth="1"/>
    <col min="8753" max="8960" width="11.5703125" style="76"/>
    <col min="8961" max="8961" width="3.7109375" style="76" customWidth="1"/>
    <col min="8962" max="8962" width="6.85546875" style="76" customWidth="1"/>
    <col min="8963" max="8963" width="13.28515625" style="76" customWidth="1"/>
    <col min="8964" max="8964" width="98" style="76" customWidth="1"/>
    <col min="8965" max="8965" width="5.140625" style="76" customWidth="1"/>
    <col min="8966" max="8966" width="12.85546875" style="76" customWidth="1"/>
    <col min="8967" max="8967" width="12" style="76" customWidth="1"/>
    <col min="8968" max="8970" width="14.28515625" style="76" customWidth="1"/>
    <col min="8971" max="8973" width="11.7109375" style="76" customWidth="1"/>
    <col min="8974" max="9008" width="0" style="76" hidden="1" customWidth="1"/>
    <col min="9009" max="9216" width="11.5703125" style="76"/>
    <col min="9217" max="9217" width="3.7109375" style="76" customWidth="1"/>
    <col min="9218" max="9218" width="6.85546875" style="76" customWidth="1"/>
    <col min="9219" max="9219" width="13.28515625" style="76" customWidth="1"/>
    <col min="9220" max="9220" width="98" style="76" customWidth="1"/>
    <col min="9221" max="9221" width="5.140625" style="76" customWidth="1"/>
    <col min="9222" max="9222" width="12.85546875" style="76" customWidth="1"/>
    <col min="9223" max="9223" width="12" style="76" customWidth="1"/>
    <col min="9224" max="9226" width="14.28515625" style="76" customWidth="1"/>
    <col min="9227" max="9229" width="11.7109375" style="76" customWidth="1"/>
    <col min="9230" max="9264" width="0" style="76" hidden="1" customWidth="1"/>
    <col min="9265" max="9472" width="11.5703125" style="76"/>
    <col min="9473" max="9473" width="3.7109375" style="76" customWidth="1"/>
    <col min="9474" max="9474" width="6.85546875" style="76" customWidth="1"/>
    <col min="9475" max="9475" width="13.28515625" style="76" customWidth="1"/>
    <col min="9476" max="9476" width="98" style="76" customWidth="1"/>
    <col min="9477" max="9477" width="5.140625" style="76" customWidth="1"/>
    <col min="9478" max="9478" width="12.85546875" style="76" customWidth="1"/>
    <col min="9479" max="9479" width="12" style="76" customWidth="1"/>
    <col min="9480" max="9482" width="14.28515625" style="76" customWidth="1"/>
    <col min="9483" max="9485" width="11.7109375" style="76" customWidth="1"/>
    <col min="9486" max="9520" width="0" style="76" hidden="1" customWidth="1"/>
    <col min="9521" max="9728" width="11.5703125" style="76"/>
    <col min="9729" max="9729" width="3.7109375" style="76" customWidth="1"/>
    <col min="9730" max="9730" width="6.85546875" style="76" customWidth="1"/>
    <col min="9731" max="9731" width="13.28515625" style="76" customWidth="1"/>
    <col min="9732" max="9732" width="98" style="76" customWidth="1"/>
    <col min="9733" max="9733" width="5.140625" style="76" customWidth="1"/>
    <col min="9734" max="9734" width="12.85546875" style="76" customWidth="1"/>
    <col min="9735" max="9735" width="12" style="76" customWidth="1"/>
    <col min="9736" max="9738" width="14.28515625" style="76" customWidth="1"/>
    <col min="9739" max="9741" width="11.7109375" style="76" customWidth="1"/>
    <col min="9742" max="9776" width="0" style="76" hidden="1" customWidth="1"/>
    <col min="9777" max="9984" width="11.5703125" style="76"/>
    <col min="9985" max="9985" width="3.7109375" style="76" customWidth="1"/>
    <col min="9986" max="9986" width="6.85546875" style="76" customWidth="1"/>
    <col min="9987" max="9987" width="13.28515625" style="76" customWidth="1"/>
    <col min="9988" max="9988" width="98" style="76" customWidth="1"/>
    <col min="9989" max="9989" width="5.140625" style="76" customWidth="1"/>
    <col min="9990" max="9990" width="12.85546875" style="76" customWidth="1"/>
    <col min="9991" max="9991" width="12" style="76" customWidth="1"/>
    <col min="9992" max="9994" width="14.28515625" style="76" customWidth="1"/>
    <col min="9995" max="9997" width="11.7109375" style="76" customWidth="1"/>
    <col min="9998" max="10032" width="0" style="76" hidden="1" customWidth="1"/>
    <col min="10033" max="10240" width="11.5703125" style="76"/>
    <col min="10241" max="10241" width="3.7109375" style="76" customWidth="1"/>
    <col min="10242" max="10242" width="6.85546875" style="76" customWidth="1"/>
    <col min="10243" max="10243" width="13.28515625" style="76" customWidth="1"/>
    <col min="10244" max="10244" width="98" style="76" customWidth="1"/>
    <col min="10245" max="10245" width="5.140625" style="76" customWidth="1"/>
    <col min="10246" max="10246" width="12.85546875" style="76" customWidth="1"/>
    <col min="10247" max="10247" width="12" style="76" customWidth="1"/>
    <col min="10248" max="10250" width="14.28515625" style="76" customWidth="1"/>
    <col min="10251" max="10253" width="11.7109375" style="76" customWidth="1"/>
    <col min="10254" max="10288" width="0" style="76" hidden="1" customWidth="1"/>
    <col min="10289" max="10496" width="11.5703125" style="76"/>
    <col min="10497" max="10497" width="3.7109375" style="76" customWidth="1"/>
    <col min="10498" max="10498" width="6.85546875" style="76" customWidth="1"/>
    <col min="10499" max="10499" width="13.28515625" style="76" customWidth="1"/>
    <col min="10500" max="10500" width="98" style="76" customWidth="1"/>
    <col min="10501" max="10501" width="5.140625" style="76" customWidth="1"/>
    <col min="10502" max="10502" width="12.85546875" style="76" customWidth="1"/>
    <col min="10503" max="10503" width="12" style="76" customWidth="1"/>
    <col min="10504" max="10506" width="14.28515625" style="76" customWidth="1"/>
    <col min="10507" max="10509" width="11.7109375" style="76" customWidth="1"/>
    <col min="10510" max="10544" width="0" style="76" hidden="1" customWidth="1"/>
    <col min="10545" max="10752" width="11.5703125" style="76"/>
    <col min="10753" max="10753" width="3.7109375" style="76" customWidth="1"/>
    <col min="10754" max="10754" width="6.85546875" style="76" customWidth="1"/>
    <col min="10755" max="10755" width="13.28515625" style="76" customWidth="1"/>
    <col min="10756" max="10756" width="98" style="76" customWidth="1"/>
    <col min="10757" max="10757" width="5.140625" style="76" customWidth="1"/>
    <col min="10758" max="10758" width="12.85546875" style="76" customWidth="1"/>
    <col min="10759" max="10759" width="12" style="76" customWidth="1"/>
    <col min="10760" max="10762" width="14.28515625" style="76" customWidth="1"/>
    <col min="10763" max="10765" width="11.7109375" style="76" customWidth="1"/>
    <col min="10766" max="10800" width="0" style="76" hidden="1" customWidth="1"/>
    <col min="10801" max="11008" width="11.5703125" style="76"/>
    <col min="11009" max="11009" width="3.7109375" style="76" customWidth="1"/>
    <col min="11010" max="11010" width="6.85546875" style="76" customWidth="1"/>
    <col min="11011" max="11011" width="13.28515625" style="76" customWidth="1"/>
    <col min="11012" max="11012" width="98" style="76" customWidth="1"/>
    <col min="11013" max="11013" width="5.140625" style="76" customWidth="1"/>
    <col min="11014" max="11014" width="12.85546875" style="76" customWidth="1"/>
    <col min="11015" max="11015" width="12" style="76" customWidth="1"/>
    <col min="11016" max="11018" width="14.28515625" style="76" customWidth="1"/>
    <col min="11019" max="11021" width="11.7109375" style="76" customWidth="1"/>
    <col min="11022" max="11056" width="0" style="76" hidden="1" customWidth="1"/>
    <col min="11057" max="11264" width="11.5703125" style="76"/>
    <col min="11265" max="11265" width="3.7109375" style="76" customWidth="1"/>
    <col min="11266" max="11266" width="6.85546875" style="76" customWidth="1"/>
    <col min="11267" max="11267" width="13.28515625" style="76" customWidth="1"/>
    <col min="11268" max="11268" width="98" style="76" customWidth="1"/>
    <col min="11269" max="11269" width="5.140625" style="76" customWidth="1"/>
    <col min="11270" max="11270" width="12.85546875" style="76" customWidth="1"/>
    <col min="11271" max="11271" width="12" style="76" customWidth="1"/>
    <col min="11272" max="11274" width="14.28515625" style="76" customWidth="1"/>
    <col min="11275" max="11277" width="11.7109375" style="76" customWidth="1"/>
    <col min="11278" max="11312" width="0" style="76" hidden="1" customWidth="1"/>
    <col min="11313" max="11520" width="11.5703125" style="76"/>
    <col min="11521" max="11521" width="3.7109375" style="76" customWidth="1"/>
    <col min="11522" max="11522" width="6.85546875" style="76" customWidth="1"/>
    <col min="11523" max="11523" width="13.28515625" style="76" customWidth="1"/>
    <col min="11524" max="11524" width="98" style="76" customWidth="1"/>
    <col min="11525" max="11525" width="5.140625" style="76" customWidth="1"/>
    <col min="11526" max="11526" width="12.85546875" style="76" customWidth="1"/>
    <col min="11527" max="11527" width="12" style="76" customWidth="1"/>
    <col min="11528" max="11530" width="14.28515625" style="76" customWidth="1"/>
    <col min="11531" max="11533" width="11.7109375" style="76" customWidth="1"/>
    <col min="11534" max="11568" width="0" style="76" hidden="1" customWidth="1"/>
    <col min="11569" max="11776" width="11.5703125" style="76"/>
    <col min="11777" max="11777" width="3.7109375" style="76" customWidth="1"/>
    <col min="11778" max="11778" width="6.85546875" style="76" customWidth="1"/>
    <col min="11779" max="11779" width="13.28515625" style="76" customWidth="1"/>
    <col min="11780" max="11780" width="98" style="76" customWidth="1"/>
    <col min="11781" max="11781" width="5.140625" style="76" customWidth="1"/>
    <col min="11782" max="11782" width="12.85546875" style="76" customWidth="1"/>
    <col min="11783" max="11783" width="12" style="76" customWidth="1"/>
    <col min="11784" max="11786" width="14.28515625" style="76" customWidth="1"/>
    <col min="11787" max="11789" width="11.7109375" style="76" customWidth="1"/>
    <col min="11790" max="11824" width="0" style="76" hidden="1" customWidth="1"/>
    <col min="11825" max="12032" width="11.5703125" style="76"/>
    <col min="12033" max="12033" width="3.7109375" style="76" customWidth="1"/>
    <col min="12034" max="12034" width="6.85546875" style="76" customWidth="1"/>
    <col min="12035" max="12035" width="13.28515625" style="76" customWidth="1"/>
    <col min="12036" max="12036" width="98" style="76" customWidth="1"/>
    <col min="12037" max="12037" width="5.140625" style="76" customWidth="1"/>
    <col min="12038" max="12038" width="12.85546875" style="76" customWidth="1"/>
    <col min="12039" max="12039" width="12" style="76" customWidth="1"/>
    <col min="12040" max="12042" width="14.28515625" style="76" customWidth="1"/>
    <col min="12043" max="12045" width="11.7109375" style="76" customWidth="1"/>
    <col min="12046" max="12080" width="0" style="76" hidden="1" customWidth="1"/>
    <col min="12081" max="12288" width="11.5703125" style="76"/>
    <col min="12289" max="12289" width="3.7109375" style="76" customWidth="1"/>
    <col min="12290" max="12290" width="6.85546875" style="76" customWidth="1"/>
    <col min="12291" max="12291" width="13.28515625" style="76" customWidth="1"/>
    <col min="12292" max="12292" width="98" style="76" customWidth="1"/>
    <col min="12293" max="12293" width="5.140625" style="76" customWidth="1"/>
    <col min="12294" max="12294" width="12.85546875" style="76" customWidth="1"/>
    <col min="12295" max="12295" width="12" style="76" customWidth="1"/>
    <col min="12296" max="12298" width="14.28515625" style="76" customWidth="1"/>
    <col min="12299" max="12301" width="11.7109375" style="76" customWidth="1"/>
    <col min="12302" max="12336" width="0" style="76" hidden="1" customWidth="1"/>
    <col min="12337" max="12544" width="11.5703125" style="76"/>
    <col min="12545" max="12545" width="3.7109375" style="76" customWidth="1"/>
    <col min="12546" max="12546" width="6.85546875" style="76" customWidth="1"/>
    <col min="12547" max="12547" width="13.28515625" style="76" customWidth="1"/>
    <col min="12548" max="12548" width="98" style="76" customWidth="1"/>
    <col min="12549" max="12549" width="5.140625" style="76" customWidth="1"/>
    <col min="12550" max="12550" width="12.85546875" style="76" customWidth="1"/>
    <col min="12551" max="12551" width="12" style="76" customWidth="1"/>
    <col min="12552" max="12554" width="14.28515625" style="76" customWidth="1"/>
    <col min="12555" max="12557" width="11.7109375" style="76" customWidth="1"/>
    <col min="12558" max="12592" width="0" style="76" hidden="1" customWidth="1"/>
    <col min="12593" max="12800" width="11.5703125" style="76"/>
    <col min="12801" max="12801" width="3.7109375" style="76" customWidth="1"/>
    <col min="12802" max="12802" width="6.85546875" style="76" customWidth="1"/>
    <col min="12803" max="12803" width="13.28515625" style="76" customWidth="1"/>
    <col min="12804" max="12804" width="98" style="76" customWidth="1"/>
    <col min="12805" max="12805" width="5.140625" style="76" customWidth="1"/>
    <col min="12806" max="12806" width="12.85546875" style="76" customWidth="1"/>
    <col min="12807" max="12807" width="12" style="76" customWidth="1"/>
    <col min="12808" max="12810" width="14.28515625" style="76" customWidth="1"/>
    <col min="12811" max="12813" width="11.7109375" style="76" customWidth="1"/>
    <col min="12814" max="12848" width="0" style="76" hidden="1" customWidth="1"/>
    <col min="12849" max="13056" width="11.5703125" style="76"/>
    <col min="13057" max="13057" width="3.7109375" style="76" customWidth="1"/>
    <col min="13058" max="13058" width="6.85546875" style="76" customWidth="1"/>
    <col min="13059" max="13059" width="13.28515625" style="76" customWidth="1"/>
    <col min="13060" max="13060" width="98" style="76" customWidth="1"/>
    <col min="13061" max="13061" width="5.140625" style="76" customWidth="1"/>
    <col min="13062" max="13062" width="12.85546875" style="76" customWidth="1"/>
    <col min="13063" max="13063" width="12" style="76" customWidth="1"/>
    <col min="13064" max="13066" width="14.28515625" style="76" customWidth="1"/>
    <col min="13067" max="13069" width="11.7109375" style="76" customWidth="1"/>
    <col min="13070" max="13104" width="0" style="76" hidden="1" customWidth="1"/>
    <col min="13105" max="13312" width="11.5703125" style="76"/>
    <col min="13313" max="13313" width="3.7109375" style="76" customWidth="1"/>
    <col min="13314" max="13314" width="6.85546875" style="76" customWidth="1"/>
    <col min="13315" max="13315" width="13.28515625" style="76" customWidth="1"/>
    <col min="13316" max="13316" width="98" style="76" customWidth="1"/>
    <col min="13317" max="13317" width="5.140625" style="76" customWidth="1"/>
    <col min="13318" max="13318" width="12.85546875" style="76" customWidth="1"/>
    <col min="13319" max="13319" width="12" style="76" customWidth="1"/>
    <col min="13320" max="13322" width="14.28515625" style="76" customWidth="1"/>
    <col min="13323" max="13325" width="11.7109375" style="76" customWidth="1"/>
    <col min="13326" max="13360" width="0" style="76" hidden="1" customWidth="1"/>
    <col min="13361" max="13568" width="11.5703125" style="76"/>
    <col min="13569" max="13569" width="3.7109375" style="76" customWidth="1"/>
    <col min="13570" max="13570" width="6.85546875" style="76" customWidth="1"/>
    <col min="13571" max="13571" width="13.28515625" style="76" customWidth="1"/>
    <col min="13572" max="13572" width="98" style="76" customWidth="1"/>
    <col min="13573" max="13573" width="5.140625" style="76" customWidth="1"/>
    <col min="13574" max="13574" width="12.85546875" style="76" customWidth="1"/>
    <col min="13575" max="13575" width="12" style="76" customWidth="1"/>
    <col min="13576" max="13578" width="14.28515625" style="76" customWidth="1"/>
    <col min="13579" max="13581" width="11.7109375" style="76" customWidth="1"/>
    <col min="13582" max="13616" width="0" style="76" hidden="1" customWidth="1"/>
    <col min="13617" max="13824" width="11.5703125" style="76"/>
    <col min="13825" max="13825" width="3.7109375" style="76" customWidth="1"/>
    <col min="13826" max="13826" width="6.85546875" style="76" customWidth="1"/>
    <col min="13827" max="13827" width="13.28515625" style="76" customWidth="1"/>
    <col min="13828" max="13828" width="98" style="76" customWidth="1"/>
    <col min="13829" max="13829" width="5.140625" style="76" customWidth="1"/>
    <col min="13830" max="13830" width="12.85546875" style="76" customWidth="1"/>
    <col min="13831" max="13831" width="12" style="76" customWidth="1"/>
    <col min="13832" max="13834" width="14.28515625" style="76" customWidth="1"/>
    <col min="13835" max="13837" width="11.7109375" style="76" customWidth="1"/>
    <col min="13838" max="13872" width="0" style="76" hidden="1" customWidth="1"/>
    <col min="13873" max="14080" width="11.5703125" style="76"/>
    <col min="14081" max="14081" width="3.7109375" style="76" customWidth="1"/>
    <col min="14082" max="14082" width="6.85546875" style="76" customWidth="1"/>
    <col min="14083" max="14083" width="13.28515625" style="76" customWidth="1"/>
    <col min="14084" max="14084" width="98" style="76" customWidth="1"/>
    <col min="14085" max="14085" width="5.140625" style="76" customWidth="1"/>
    <col min="14086" max="14086" width="12.85546875" style="76" customWidth="1"/>
    <col min="14087" max="14087" width="12" style="76" customWidth="1"/>
    <col min="14088" max="14090" width="14.28515625" style="76" customWidth="1"/>
    <col min="14091" max="14093" width="11.7109375" style="76" customWidth="1"/>
    <col min="14094" max="14128" width="0" style="76" hidden="1" customWidth="1"/>
    <col min="14129" max="14336" width="11.5703125" style="76"/>
    <col min="14337" max="14337" width="3.7109375" style="76" customWidth="1"/>
    <col min="14338" max="14338" width="6.85546875" style="76" customWidth="1"/>
    <col min="14339" max="14339" width="13.28515625" style="76" customWidth="1"/>
    <col min="14340" max="14340" width="98" style="76" customWidth="1"/>
    <col min="14341" max="14341" width="5.140625" style="76" customWidth="1"/>
    <col min="14342" max="14342" width="12.85546875" style="76" customWidth="1"/>
    <col min="14343" max="14343" width="12" style="76" customWidth="1"/>
    <col min="14344" max="14346" width="14.28515625" style="76" customWidth="1"/>
    <col min="14347" max="14349" width="11.7109375" style="76" customWidth="1"/>
    <col min="14350" max="14384" width="0" style="76" hidden="1" customWidth="1"/>
    <col min="14385" max="14592" width="11.5703125" style="76"/>
    <col min="14593" max="14593" width="3.7109375" style="76" customWidth="1"/>
    <col min="14594" max="14594" width="6.85546875" style="76" customWidth="1"/>
    <col min="14595" max="14595" width="13.28515625" style="76" customWidth="1"/>
    <col min="14596" max="14596" width="98" style="76" customWidth="1"/>
    <col min="14597" max="14597" width="5.140625" style="76" customWidth="1"/>
    <col min="14598" max="14598" width="12.85546875" style="76" customWidth="1"/>
    <col min="14599" max="14599" width="12" style="76" customWidth="1"/>
    <col min="14600" max="14602" width="14.28515625" style="76" customWidth="1"/>
    <col min="14603" max="14605" width="11.7109375" style="76" customWidth="1"/>
    <col min="14606" max="14640" width="0" style="76" hidden="1" customWidth="1"/>
    <col min="14641" max="14848" width="11.5703125" style="76"/>
    <col min="14849" max="14849" width="3.7109375" style="76" customWidth="1"/>
    <col min="14850" max="14850" width="6.85546875" style="76" customWidth="1"/>
    <col min="14851" max="14851" width="13.28515625" style="76" customWidth="1"/>
    <col min="14852" max="14852" width="98" style="76" customWidth="1"/>
    <col min="14853" max="14853" width="5.140625" style="76" customWidth="1"/>
    <col min="14854" max="14854" width="12.85546875" style="76" customWidth="1"/>
    <col min="14855" max="14855" width="12" style="76" customWidth="1"/>
    <col min="14856" max="14858" width="14.28515625" style="76" customWidth="1"/>
    <col min="14859" max="14861" width="11.7109375" style="76" customWidth="1"/>
    <col min="14862" max="14896" width="0" style="76" hidden="1" customWidth="1"/>
    <col min="14897" max="15104" width="11.5703125" style="76"/>
    <col min="15105" max="15105" width="3.7109375" style="76" customWidth="1"/>
    <col min="15106" max="15106" width="6.85546875" style="76" customWidth="1"/>
    <col min="15107" max="15107" width="13.28515625" style="76" customWidth="1"/>
    <col min="15108" max="15108" width="98" style="76" customWidth="1"/>
    <col min="15109" max="15109" width="5.140625" style="76" customWidth="1"/>
    <col min="15110" max="15110" width="12.85546875" style="76" customWidth="1"/>
    <col min="15111" max="15111" width="12" style="76" customWidth="1"/>
    <col min="15112" max="15114" width="14.28515625" style="76" customWidth="1"/>
    <col min="15115" max="15117" width="11.7109375" style="76" customWidth="1"/>
    <col min="15118" max="15152" width="0" style="76" hidden="1" customWidth="1"/>
    <col min="15153" max="15360" width="11.5703125" style="76"/>
    <col min="15361" max="15361" width="3.7109375" style="76" customWidth="1"/>
    <col min="15362" max="15362" width="6.85546875" style="76" customWidth="1"/>
    <col min="15363" max="15363" width="13.28515625" style="76" customWidth="1"/>
    <col min="15364" max="15364" width="98" style="76" customWidth="1"/>
    <col min="15365" max="15365" width="5.140625" style="76" customWidth="1"/>
    <col min="15366" max="15366" width="12.85546875" style="76" customWidth="1"/>
    <col min="15367" max="15367" width="12" style="76" customWidth="1"/>
    <col min="15368" max="15370" width="14.28515625" style="76" customWidth="1"/>
    <col min="15371" max="15373" width="11.7109375" style="76" customWidth="1"/>
    <col min="15374" max="15408" width="0" style="76" hidden="1" customWidth="1"/>
    <col min="15409" max="15616" width="11.5703125" style="76"/>
    <col min="15617" max="15617" width="3.7109375" style="76" customWidth="1"/>
    <col min="15618" max="15618" width="6.85546875" style="76" customWidth="1"/>
    <col min="15619" max="15619" width="13.28515625" style="76" customWidth="1"/>
    <col min="15620" max="15620" width="98" style="76" customWidth="1"/>
    <col min="15621" max="15621" width="5.140625" style="76" customWidth="1"/>
    <col min="15622" max="15622" width="12.85546875" style="76" customWidth="1"/>
    <col min="15623" max="15623" width="12" style="76" customWidth="1"/>
    <col min="15624" max="15626" width="14.28515625" style="76" customWidth="1"/>
    <col min="15627" max="15629" width="11.7109375" style="76" customWidth="1"/>
    <col min="15630" max="15664" width="0" style="76" hidden="1" customWidth="1"/>
    <col min="15665" max="15872" width="11.5703125" style="76"/>
    <col min="15873" max="15873" width="3.7109375" style="76" customWidth="1"/>
    <col min="15874" max="15874" width="6.85546875" style="76" customWidth="1"/>
    <col min="15875" max="15875" width="13.28515625" style="76" customWidth="1"/>
    <col min="15876" max="15876" width="98" style="76" customWidth="1"/>
    <col min="15877" max="15877" width="5.140625" style="76" customWidth="1"/>
    <col min="15878" max="15878" width="12.85546875" style="76" customWidth="1"/>
    <col min="15879" max="15879" width="12" style="76" customWidth="1"/>
    <col min="15880" max="15882" width="14.28515625" style="76" customWidth="1"/>
    <col min="15883" max="15885" width="11.7109375" style="76" customWidth="1"/>
    <col min="15886" max="15920" width="0" style="76" hidden="1" customWidth="1"/>
    <col min="15921" max="16128" width="11.5703125" style="76"/>
    <col min="16129" max="16129" width="3.7109375" style="76" customWidth="1"/>
    <col min="16130" max="16130" width="6.85546875" style="76" customWidth="1"/>
    <col min="16131" max="16131" width="13.28515625" style="76" customWidth="1"/>
    <col min="16132" max="16132" width="98" style="76" customWidth="1"/>
    <col min="16133" max="16133" width="5.140625" style="76" customWidth="1"/>
    <col min="16134" max="16134" width="12.85546875" style="76" customWidth="1"/>
    <col min="16135" max="16135" width="12" style="76" customWidth="1"/>
    <col min="16136" max="16138" width="14.28515625" style="76" customWidth="1"/>
    <col min="16139" max="16141" width="11.7109375" style="76" customWidth="1"/>
    <col min="16142" max="16176" width="0" style="76" hidden="1" customWidth="1"/>
    <col min="16177" max="16384" width="11.5703125" style="76"/>
  </cols>
  <sheetData>
    <row r="1" spans="1:48" ht="72.95" customHeight="1">
      <c r="A1" s="342" t="s">
        <v>1753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</row>
    <row r="2" spans="1:48">
      <c r="A2" s="344" t="s">
        <v>710</v>
      </c>
      <c r="B2" s="345"/>
      <c r="C2" s="345"/>
      <c r="D2" s="347" t="s">
        <v>1075</v>
      </c>
      <c r="E2" s="349" t="s">
        <v>711</v>
      </c>
      <c r="F2" s="345"/>
      <c r="G2" s="349"/>
      <c r="H2" s="345"/>
      <c r="I2" s="350" t="s">
        <v>712</v>
      </c>
      <c r="J2" s="350"/>
      <c r="K2" s="345"/>
      <c r="L2" s="345"/>
      <c r="M2" s="351"/>
      <c r="N2" s="113"/>
    </row>
    <row r="3" spans="1:48">
      <c r="A3" s="346"/>
      <c r="B3" s="340"/>
      <c r="C3" s="340"/>
      <c r="D3" s="365"/>
      <c r="E3" s="340"/>
      <c r="F3" s="340"/>
      <c r="G3" s="340"/>
      <c r="H3" s="340"/>
      <c r="I3" s="340"/>
      <c r="J3" s="340"/>
      <c r="K3" s="340"/>
      <c r="L3" s="340"/>
      <c r="M3" s="341"/>
      <c r="N3" s="113"/>
    </row>
    <row r="4" spans="1:48">
      <c r="A4" s="352" t="s">
        <v>713</v>
      </c>
      <c r="B4" s="340"/>
      <c r="C4" s="340"/>
      <c r="D4" s="339" t="s">
        <v>1076</v>
      </c>
      <c r="E4" s="353" t="s">
        <v>715</v>
      </c>
      <c r="F4" s="340"/>
      <c r="G4" s="354">
        <v>42736</v>
      </c>
      <c r="H4" s="340"/>
      <c r="I4" s="339" t="s">
        <v>716</v>
      </c>
      <c r="J4" s="339"/>
      <c r="K4" s="340"/>
      <c r="L4" s="340"/>
      <c r="M4" s="341"/>
      <c r="N4" s="113"/>
    </row>
    <row r="5" spans="1:48">
      <c r="A5" s="346"/>
      <c r="B5" s="340"/>
      <c r="C5" s="340"/>
      <c r="D5" s="339"/>
      <c r="E5" s="340"/>
      <c r="F5" s="340"/>
      <c r="G5" s="340"/>
      <c r="H5" s="340"/>
      <c r="I5" s="340"/>
      <c r="J5" s="340"/>
      <c r="K5" s="340"/>
      <c r="L5" s="340"/>
      <c r="M5" s="341"/>
      <c r="N5" s="113"/>
    </row>
    <row r="6" spans="1:48">
      <c r="A6" s="352" t="s">
        <v>717</v>
      </c>
      <c r="B6" s="340"/>
      <c r="C6" s="340"/>
      <c r="D6" s="339" t="s">
        <v>718</v>
      </c>
      <c r="E6" s="353" t="s">
        <v>719</v>
      </c>
      <c r="F6" s="340"/>
      <c r="G6" s="340"/>
      <c r="H6" s="340"/>
      <c r="I6" s="339" t="s">
        <v>720</v>
      </c>
      <c r="J6" s="339"/>
      <c r="K6" s="340"/>
      <c r="L6" s="340"/>
      <c r="M6" s="341"/>
      <c r="N6" s="113"/>
    </row>
    <row r="7" spans="1:48">
      <c r="A7" s="346"/>
      <c r="B7" s="340"/>
      <c r="C7" s="340"/>
      <c r="D7" s="339"/>
      <c r="E7" s="340"/>
      <c r="F7" s="340"/>
      <c r="G7" s="340"/>
      <c r="H7" s="340"/>
      <c r="I7" s="340"/>
      <c r="J7" s="340"/>
      <c r="K7" s="340"/>
      <c r="L7" s="340"/>
      <c r="M7" s="341"/>
      <c r="N7" s="113"/>
    </row>
    <row r="8" spans="1:48">
      <c r="A8" s="352" t="s">
        <v>721</v>
      </c>
      <c r="B8" s="340"/>
      <c r="C8" s="340"/>
      <c r="D8" s="339"/>
      <c r="E8" s="353" t="s">
        <v>722</v>
      </c>
      <c r="F8" s="340"/>
      <c r="G8" s="354">
        <v>42709</v>
      </c>
      <c r="H8" s="340"/>
      <c r="I8" s="339" t="s">
        <v>723</v>
      </c>
      <c r="J8" s="339"/>
      <c r="K8" s="340"/>
      <c r="L8" s="340"/>
      <c r="M8" s="341"/>
      <c r="N8" s="113"/>
    </row>
    <row r="9" spans="1:48" ht="13.5" thickBot="1">
      <c r="A9" s="357"/>
      <c r="B9" s="355"/>
      <c r="C9" s="355"/>
      <c r="D9" s="366"/>
      <c r="E9" s="355"/>
      <c r="F9" s="355"/>
      <c r="G9" s="355"/>
      <c r="H9" s="355"/>
      <c r="I9" s="355"/>
      <c r="J9" s="355"/>
      <c r="K9" s="355"/>
      <c r="L9" s="355"/>
      <c r="M9" s="356"/>
      <c r="N9" s="113"/>
    </row>
    <row r="10" spans="1:48">
      <c r="A10" s="77" t="s">
        <v>724</v>
      </c>
      <c r="B10" s="78" t="s">
        <v>725</v>
      </c>
      <c r="C10" s="78" t="s">
        <v>726</v>
      </c>
      <c r="D10" s="309" t="s">
        <v>727</v>
      </c>
      <c r="E10" s="78" t="s">
        <v>728</v>
      </c>
      <c r="F10" s="79" t="s">
        <v>729</v>
      </c>
      <c r="G10" s="80" t="s">
        <v>730</v>
      </c>
      <c r="H10" s="358" t="s">
        <v>731</v>
      </c>
      <c r="I10" s="359"/>
      <c r="J10" s="360"/>
      <c r="K10" s="358" t="s">
        <v>732</v>
      </c>
      <c r="L10" s="360"/>
      <c r="M10" s="81" t="s">
        <v>733</v>
      </c>
      <c r="N10" s="114"/>
    </row>
    <row r="11" spans="1:48" ht="13.5" thickBot="1">
      <c r="A11" s="82" t="s">
        <v>734</v>
      </c>
      <c r="B11" s="83" t="s">
        <v>734</v>
      </c>
      <c r="C11" s="83" t="s">
        <v>734</v>
      </c>
      <c r="D11" s="310" t="s">
        <v>735</v>
      </c>
      <c r="E11" s="83" t="s">
        <v>734</v>
      </c>
      <c r="F11" s="83" t="s">
        <v>734</v>
      </c>
      <c r="G11" s="85" t="s">
        <v>736</v>
      </c>
      <c r="H11" s="86" t="s">
        <v>737</v>
      </c>
      <c r="I11" s="87" t="s">
        <v>738</v>
      </c>
      <c r="J11" s="88" t="s">
        <v>739</v>
      </c>
      <c r="K11" s="86" t="s">
        <v>730</v>
      </c>
      <c r="L11" s="88" t="s">
        <v>739</v>
      </c>
      <c r="M11" s="89" t="s">
        <v>740</v>
      </c>
      <c r="N11" s="114"/>
      <c r="P11" s="90" t="s">
        <v>741</v>
      </c>
      <c r="Q11" s="90" t="s">
        <v>742</v>
      </c>
      <c r="R11" s="90" t="s">
        <v>743</v>
      </c>
      <c r="S11" s="90" t="s">
        <v>744</v>
      </c>
      <c r="T11" s="90" t="s">
        <v>745</v>
      </c>
      <c r="U11" s="90" t="s">
        <v>746</v>
      </c>
      <c r="V11" s="90" t="s">
        <v>747</v>
      </c>
      <c r="W11" s="90" t="s">
        <v>748</v>
      </c>
      <c r="X11" s="90" t="s">
        <v>749</v>
      </c>
    </row>
    <row r="12" spans="1:48">
      <c r="A12" s="115"/>
      <c r="B12" s="116"/>
      <c r="C12" s="116" t="s">
        <v>752</v>
      </c>
      <c r="D12" s="367" t="s">
        <v>1077</v>
      </c>
      <c r="E12" s="368"/>
      <c r="F12" s="368"/>
      <c r="G12" s="368"/>
      <c r="H12" s="117">
        <f>SUM(H13:H13)</f>
        <v>0</v>
      </c>
      <c r="I12" s="117">
        <f>SUM(I13:I13)</f>
        <v>0</v>
      </c>
      <c r="J12" s="117">
        <f>H12+I12</f>
        <v>0</v>
      </c>
      <c r="K12" s="118"/>
      <c r="L12" s="117">
        <f>SUM(L13:L13)</f>
        <v>0</v>
      </c>
      <c r="M12" s="118"/>
      <c r="Y12" s="90"/>
      <c r="AI12" s="93">
        <f>SUM(Z13:Z13)</f>
        <v>0</v>
      </c>
      <c r="AJ12" s="93">
        <f>SUM(AA13:AA13)</f>
        <v>0</v>
      </c>
      <c r="AK12" s="93">
        <f>SUM(AB13:AB13)</f>
        <v>0</v>
      </c>
    </row>
    <row r="13" spans="1:48">
      <c r="A13" s="94" t="s">
        <v>18</v>
      </c>
      <c r="B13" s="94"/>
      <c r="C13" s="94" t="s">
        <v>1078</v>
      </c>
      <c r="D13" s="95" t="s">
        <v>1079</v>
      </c>
      <c r="E13" s="94" t="s">
        <v>55</v>
      </c>
      <c r="F13" s="97">
        <v>5</v>
      </c>
      <c r="G13" s="97"/>
      <c r="H13" s="97">
        <f>F13*AE13</f>
        <v>0</v>
      </c>
      <c r="I13" s="97">
        <f>J13-H13</f>
        <v>0</v>
      </c>
      <c r="J13" s="97">
        <f>F13*G13</f>
        <v>0</v>
      </c>
      <c r="K13" s="97">
        <v>0</v>
      </c>
      <c r="L13" s="97">
        <f>F13*K13</f>
        <v>0</v>
      </c>
      <c r="M13" s="98" t="s">
        <v>882</v>
      </c>
      <c r="P13" s="99">
        <f>IF(AG13="5",J13,0)</f>
        <v>0</v>
      </c>
      <c r="R13" s="99">
        <f>IF(AG13="1",H13,0)</f>
        <v>0</v>
      </c>
      <c r="S13" s="99">
        <f>IF(AG13="1",I13,0)</f>
        <v>0</v>
      </c>
      <c r="T13" s="99">
        <f>IF(AG13="7",H13,0)</f>
        <v>0</v>
      </c>
      <c r="U13" s="99">
        <f>IF(AG13="7",I13,0)</f>
        <v>0</v>
      </c>
      <c r="V13" s="99">
        <f>IF(AG13="2",H13,0)</f>
        <v>0</v>
      </c>
      <c r="W13" s="99">
        <f>IF(AG13="2",I13,0)</f>
        <v>0</v>
      </c>
      <c r="X13" s="99">
        <f>IF(AG13="0",J13,0)</f>
        <v>0</v>
      </c>
      <c r="Y13" s="90"/>
      <c r="Z13" s="97">
        <f>IF(AD13=0,J13,0)</f>
        <v>0</v>
      </c>
      <c r="AA13" s="97">
        <f>IF(AD13=15,J13,0)</f>
        <v>0</v>
      </c>
      <c r="AB13" s="97">
        <f>IF(AD13=21,J13,0)</f>
        <v>0</v>
      </c>
      <c r="AD13" s="99">
        <v>0</v>
      </c>
      <c r="AE13" s="99">
        <f>G13*0</f>
        <v>0</v>
      </c>
      <c r="AF13" s="99">
        <f>G13*(1-0)</f>
        <v>0</v>
      </c>
      <c r="AG13" s="98" t="s">
        <v>18</v>
      </c>
      <c r="AM13" s="99">
        <f>F13*AE13</f>
        <v>0</v>
      </c>
      <c r="AN13" s="99">
        <f>F13*AF13</f>
        <v>0</v>
      </c>
      <c r="AO13" s="100" t="s">
        <v>1080</v>
      </c>
      <c r="AP13" s="100" t="s">
        <v>1081</v>
      </c>
      <c r="AQ13" s="90" t="s">
        <v>758</v>
      </c>
      <c r="AS13" s="99">
        <f>AM13+AN13</f>
        <v>0</v>
      </c>
      <c r="AT13" s="99">
        <f>G13/(100-AU13)*100</f>
        <v>0</v>
      </c>
      <c r="AU13" s="99">
        <v>0</v>
      </c>
      <c r="AV13" s="99">
        <f>L13</f>
        <v>0</v>
      </c>
    </row>
    <row r="14" spans="1:48">
      <c r="A14" s="91"/>
      <c r="B14" s="92"/>
      <c r="C14" s="92" t="s">
        <v>768</v>
      </c>
      <c r="D14" s="369" t="s">
        <v>1082</v>
      </c>
      <c r="E14" s="370"/>
      <c r="F14" s="370"/>
      <c r="G14" s="370"/>
      <c r="H14" s="93">
        <f>SUM(H15:H17)</f>
        <v>0</v>
      </c>
      <c r="I14" s="93">
        <f>SUM(I15:I17)</f>
        <v>0</v>
      </c>
      <c r="J14" s="93">
        <f>H14+I14</f>
        <v>0</v>
      </c>
      <c r="K14" s="90"/>
      <c r="L14" s="93">
        <f>SUM(L15:L17)</f>
        <v>0</v>
      </c>
      <c r="M14" s="90"/>
      <c r="Y14" s="90"/>
      <c r="AI14" s="93">
        <f>SUM(Z15:Z17)</f>
        <v>0</v>
      </c>
      <c r="AJ14" s="93">
        <f>SUM(AA15:AA17)</f>
        <v>0</v>
      </c>
      <c r="AK14" s="93">
        <f>SUM(AB15:AB17)</f>
        <v>0</v>
      </c>
    </row>
    <row r="15" spans="1:48">
      <c r="A15" s="94" t="s">
        <v>1083</v>
      </c>
      <c r="B15" s="94"/>
      <c r="C15" s="94" t="s">
        <v>1084</v>
      </c>
      <c r="D15" s="95" t="s">
        <v>1085</v>
      </c>
      <c r="E15" s="94" t="s">
        <v>55</v>
      </c>
      <c r="F15" s="97">
        <v>5</v>
      </c>
      <c r="G15" s="97"/>
      <c r="H15" s="97">
        <f>F15*AE15</f>
        <v>0</v>
      </c>
      <c r="I15" s="97">
        <f>J15-H15</f>
        <v>0</v>
      </c>
      <c r="J15" s="97">
        <f>F15*G15</f>
        <v>0</v>
      </c>
      <c r="K15" s="97">
        <v>0</v>
      </c>
      <c r="L15" s="97">
        <f>F15*K15</f>
        <v>0</v>
      </c>
      <c r="M15" s="98" t="s">
        <v>882</v>
      </c>
      <c r="P15" s="99">
        <f>IF(AG15="5",J15,0)</f>
        <v>0</v>
      </c>
      <c r="R15" s="99">
        <f>IF(AG15="1",H15,0)</f>
        <v>0</v>
      </c>
      <c r="S15" s="99">
        <f>IF(AG15="1",I15,0)</f>
        <v>0</v>
      </c>
      <c r="T15" s="99">
        <f>IF(AG15="7",H15,0)</f>
        <v>0</v>
      </c>
      <c r="U15" s="99">
        <f>IF(AG15="7",I15,0)</f>
        <v>0</v>
      </c>
      <c r="V15" s="99">
        <f>IF(AG15="2",H15,0)</f>
        <v>0</v>
      </c>
      <c r="W15" s="99">
        <f>IF(AG15="2",I15,0)</f>
        <v>0</v>
      </c>
      <c r="X15" s="99">
        <f>IF(AG15="0",J15,0)</f>
        <v>0</v>
      </c>
      <c r="Y15" s="90"/>
      <c r="Z15" s="97">
        <f>IF(AD15=0,J15,0)</f>
        <v>0</v>
      </c>
      <c r="AA15" s="97">
        <f>IF(AD15=15,J15,0)</f>
        <v>0</v>
      </c>
      <c r="AB15" s="97">
        <f>IF(AD15=21,J15,0)</f>
        <v>0</v>
      </c>
      <c r="AD15" s="99">
        <v>0</v>
      </c>
      <c r="AE15" s="99">
        <f>G15*0</f>
        <v>0</v>
      </c>
      <c r="AF15" s="99">
        <f>G15*(1-0)</f>
        <v>0</v>
      </c>
      <c r="AG15" s="98" t="s">
        <v>18</v>
      </c>
      <c r="AM15" s="99">
        <f>F15*AE15</f>
        <v>0</v>
      </c>
      <c r="AN15" s="99">
        <f>F15*AF15</f>
        <v>0</v>
      </c>
      <c r="AO15" s="100" t="s">
        <v>1086</v>
      </c>
      <c r="AP15" s="100" t="s">
        <v>1081</v>
      </c>
      <c r="AQ15" s="90" t="s">
        <v>758</v>
      </c>
      <c r="AS15" s="99">
        <f>AM15+AN15</f>
        <v>0</v>
      </c>
      <c r="AT15" s="99">
        <f>G15/(100-AU15)*100</f>
        <v>0</v>
      </c>
      <c r="AU15" s="99">
        <v>0</v>
      </c>
      <c r="AV15" s="99">
        <f>L15</f>
        <v>0</v>
      </c>
    </row>
    <row r="16" spans="1:48">
      <c r="A16" s="94" t="s">
        <v>1087</v>
      </c>
      <c r="B16" s="94"/>
      <c r="C16" s="94" t="s">
        <v>1088</v>
      </c>
      <c r="D16" s="95" t="s">
        <v>1089</v>
      </c>
      <c r="E16" s="94" t="s">
        <v>55</v>
      </c>
      <c r="F16" s="97">
        <v>1.5</v>
      </c>
      <c r="G16" s="97"/>
      <c r="H16" s="97">
        <f>F16*AE16</f>
        <v>0</v>
      </c>
      <c r="I16" s="97">
        <f>J16-H16</f>
        <v>0</v>
      </c>
      <c r="J16" s="97">
        <f>F16*G16</f>
        <v>0</v>
      </c>
      <c r="K16" s="97">
        <v>0</v>
      </c>
      <c r="L16" s="97">
        <f>F16*K16</f>
        <v>0</v>
      </c>
      <c r="M16" s="98" t="s">
        <v>882</v>
      </c>
      <c r="P16" s="99">
        <f>IF(AG16="5",J16,0)</f>
        <v>0</v>
      </c>
      <c r="R16" s="99">
        <f>IF(AG16="1",H16,0)</f>
        <v>0</v>
      </c>
      <c r="S16" s="99">
        <f>IF(AG16="1",I16,0)</f>
        <v>0</v>
      </c>
      <c r="T16" s="99">
        <f>IF(AG16="7",H16,0)</f>
        <v>0</v>
      </c>
      <c r="U16" s="99">
        <f>IF(AG16="7",I16,0)</f>
        <v>0</v>
      </c>
      <c r="V16" s="99">
        <f>IF(AG16="2",H16,0)</f>
        <v>0</v>
      </c>
      <c r="W16" s="99">
        <f>IF(AG16="2",I16,0)</f>
        <v>0</v>
      </c>
      <c r="X16" s="99">
        <f>IF(AG16="0",J16,0)</f>
        <v>0</v>
      </c>
      <c r="Y16" s="90"/>
      <c r="Z16" s="97">
        <f>IF(AD16=0,J16,0)</f>
        <v>0</v>
      </c>
      <c r="AA16" s="97">
        <f>IF(AD16=15,J16,0)</f>
        <v>0</v>
      </c>
      <c r="AB16" s="97">
        <f>IF(AD16=21,J16,0)</f>
        <v>0</v>
      </c>
      <c r="AD16" s="99">
        <v>0</v>
      </c>
      <c r="AE16" s="99">
        <f>G16*0</f>
        <v>0</v>
      </c>
      <c r="AF16" s="99">
        <f>G16*(1-0)</f>
        <v>0</v>
      </c>
      <c r="AG16" s="98" t="s">
        <v>18</v>
      </c>
      <c r="AM16" s="99">
        <f>F16*AE16</f>
        <v>0</v>
      </c>
      <c r="AN16" s="99">
        <f>F16*AF16</f>
        <v>0</v>
      </c>
      <c r="AO16" s="100" t="s">
        <v>1086</v>
      </c>
      <c r="AP16" s="100" t="s">
        <v>1081</v>
      </c>
      <c r="AQ16" s="90" t="s">
        <v>758</v>
      </c>
      <c r="AS16" s="99">
        <f>AM16+AN16</f>
        <v>0</v>
      </c>
      <c r="AT16" s="99">
        <f>G16/(100-AU16)*100</f>
        <v>0</v>
      </c>
      <c r="AU16" s="99">
        <v>0</v>
      </c>
      <c r="AV16" s="99">
        <f>L16</f>
        <v>0</v>
      </c>
    </row>
    <row r="17" spans="1:48">
      <c r="A17" s="94" t="s">
        <v>1090</v>
      </c>
      <c r="B17" s="94"/>
      <c r="C17" s="94" t="s">
        <v>1091</v>
      </c>
      <c r="D17" s="95" t="s">
        <v>1092</v>
      </c>
      <c r="E17" s="94" t="s">
        <v>55</v>
      </c>
      <c r="F17" s="97">
        <v>1.5</v>
      </c>
      <c r="G17" s="97"/>
      <c r="H17" s="97">
        <f>F17*AE17</f>
        <v>0</v>
      </c>
      <c r="I17" s="97">
        <f>J17-H17</f>
        <v>0</v>
      </c>
      <c r="J17" s="97">
        <f>F17*G17</f>
        <v>0</v>
      </c>
      <c r="K17" s="97">
        <v>0</v>
      </c>
      <c r="L17" s="97">
        <f>F17*K17</f>
        <v>0</v>
      </c>
      <c r="M17" s="98" t="s">
        <v>882</v>
      </c>
      <c r="P17" s="99">
        <f>IF(AG17="5",J17,0)</f>
        <v>0</v>
      </c>
      <c r="R17" s="99">
        <f>IF(AG17="1",H17,0)</f>
        <v>0</v>
      </c>
      <c r="S17" s="99">
        <f>IF(AG17="1",I17,0)</f>
        <v>0</v>
      </c>
      <c r="T17" s="99">
        <f>IF(AG17="7",H17,0)</f>
        <v>0</v>
      </c>
      <c r="U17" s="99">
        <f>IF(AG17="7",I17,0)</f>
        <v>0</v>
      </c>
      <c r="V17" s="99">
        <f>IF(AG17="2",H17,0)</f>
        <v>0</v>
      </c>
      <c r="W17" s="99">
        <f>IF(AG17="2",I17,0)</f>
        <v>0</v>
      </c>
      <c r="X17" s="99">
        <f>IF(AG17="0",J17,0)</f>
        <v>0</v>
      </c>
      <c r="Y17" s="90"/>
      <c r="Z17" s="97">
        <f>IF(AD17=0,J17,0)</f>
        <v>0</v>
      </c>
      <c r="AA17" s="97">
        <f>IF(AD17=15,J17,0)</f>
        <v>0</v>
      </c>
      <c r="AB17" s="97">
        <f>IF(AD17=21,J17,0)</f>
        <v>0</v>
      </c>
      <c r="AD17" s="99">
        <v>0</v>
      </c>
      <c r="AE17" s="99">
        <f>G17*0</f>
        <v>0</v>
      </c>
      <c r="AF17" s="99">
        <f>G17*(1-0)</f>
        <v>0</v>
      </c>
      <c r="AG17" s="98" t="s">
        <v>18</v>
      </c>
      <c r="AM17" s="99">
        <f>F17*AE17</f>
        <v>0</v>
      </c>
      <c r="AN17" s="99">
        <f>F17*AF17</f>
        <v>0</v>
      </c>
      <c r="AO17" s="100" t="s">
        <v>1086</v>
      </c>
      <c r="AP17" s="100" t="s">
        <v>1081</v>
      </c>
      <c r="AQ17" s="90" t="s">
        <v>758</v>
      </c>
      <c r="AS17" s="99">
        <f>AM17+AN17</f>
        <v>0</v>
      </c>
      <c r="AT17" s="99">
        <f>G17/(100-AU17)*100</f>
        <v>0</v>
      </c>
      <c r="AU17" s="99">
        <v>0</v>
      </c>
      <c r="AV17" s="99">
        <f>L17</f>
        <v>0</v>
      </c>
    </row>
    <row r="18" spans="1:48">
      <c r="A18" s="91"/>
      <c r="B18" s="92"/>
      <c r="C18" s="92" t="s">
        <v>771</v>
      </c>
      <c r="D18" s="369" t="s">
        <v>1093</v>
      </c>
      <c r="E18" s="370"/>
      <c r="F18" s="370"/>
      <c r="G18" s="370"/>
      <c r="H18" s="93">
        <f>SUM(H19:H21)</f>
        <v>0</v>
      </c>
      <c r="I18" s="93">
        <f>SUM(I19:I21)</f>
        <v>0</v>
      </c>
      <c r="J18" s="93">
        <f>H18+I18</f>
        <v>0</v>
      </c>
      <c r="K18" s="90"/>
      <c r="L18" s="93">
        <f>SUM(L19:L21)</f>
        <v>0</v>
      </c>
      <c r="M18" s="90"/>
      <c r="Y18" s="90"/>
      <c r="AI18" s="93">
        <f>SUM(Z19:Z21)</f>
        <v>0</v>
      </c>
      <c r="AJ18" s="93">
        <f>SUM(AA19:AA21)</f>
        <v>0</v>
      </c>
      <c r="AK18" s="93">
        <f>SUM(AB19:AB21)</f>
        <v>0</v>
      </c>
    </row>
    <row r="19" spans="1:48">
      <c r="A19" s="94" t="s">
        <v>1055</v>
      </c>
      <c r="B19" s="94"/>
      <c r="C19" s="94" t="s">
        <v>1094</v>
      </c>
      <c r="D19" s="95" t="s">
        <v>1095</v>
      </c>
      <c r="E19" s="94" t="s">
        <v>55</v>
      </c>
      <c r="F19" s="97">
        <v>3.5</v>
      </c>
      <c r="G19" s="97"/>
      <c r="H19" s="97">
        <f>F19*AE19</f>
        <v>0</v>
      </c>
      <c r="I19" s="97">
        <f>J19-H19</f>
        <v>0</v>
      </c>
      <c r="J19" s="97">
        <f>F19*G19</f>
        <v>0</v>
      </c>
      <c r="K19" s="97">
        <v>0</v>
      </c>
      <c r="L19" s="97">
        <f>F19*K19</f>
        <v>0</v>
      </c>
      <c r="M19" s="98" t="s">
        <v>882</v>
      </c>
      <c r="P19" s="99">
        <f>IF(AG19="5",J19,0)</f>
        <v>0</v>
      </c>
      <c r="R19" s="99">
        <f>IF(AG19="1",H19,0)</f>
        <v>0</v>
      </c>
      <c r="S19" s="99">
        <f>IF(AG19="1",I19,0)</f>
        <v>0</v>
      </c>
      <c r="T19" s="99">
        <f>IF(AG19="7",H19,0)</f>
        <v>0</v>
      </c>
      <c r="U19" s="99">
        <f>IF(AG19="7",I19,0)</f>
        <v>0</v>
      </c>
      <c r="V19" s="99">
        <f>IF(AG19="2",H19,0)</f>
        <v>0</v>
      </c>
      <c r="W19" s="99">
        <f>IF(AG19="2",I19,0)</f>
        <v>0</v>
      </c>
      <c r="X19" s="99">
        <f>IF(AG19="0",J19,0)</f>
        <v>0</v>
      </c>
      <c r="Y19" s="90"/>
      <c r="Z19" s="97">
        <f>IF(AD19=0,J19,0)</f>
        <v>0</v>
      </c>
      <c r="AA19" s="97">
        <f>IF(AD19=15,J19,0)</f>
        <v>0</v>
      </c>
      <c r="AB19" s="97">
        <f>IF(AD19=21,J19,0)</f>
        <v>0</v>
      </c>
      <c r="AD19" s="99">
        <v>0</v>
      </c>
      <c r="AE19" s="99">
        <f>G19*0</f>
        <v>0</v>
      </c>
      <c r="AF19" s="99">
        <f>G19*(1-0)</f>
        <v>0</v>
      </c>
      <c r="AG19" s="98" t="s">
        <v>18</v>
      </c>
      <c r="AM19" s="99">
        <f>F19*AE19</f>
        <v>0</v>
      </c>
      <c r="AN19" s="99">
        <f>F19*AF19</f>
        <v>0</v>
      </c>
      <c r="AO19" s="100" t="s">
        <v>1096</v>
      </c>
      <c r="AP19" s="100" t="s">
        <v>1081</v>
      </c>
      <c r="AQ19" s="90" t="s">
        <v>758</v>
      </c>
      <c r="AS19" s="99">
        <f>AM19+AN19</f>
        <v>0</v>
      </c>
      <c r="AT19" s="99">
        <f>G19/(100-AU19)*100</f>
        <v>0</v>
      </c>
      <c r="AU19" s="99">
        <v>0</v>
      </c>
      <c r="AV19" s="99">
        <f>L19</f>
        <v>0</v>
      </c>
    </row>
    <row r="20" spans="1:48">
      <c r="A20" s="94" t="s">
        <v>1097</v>
      </c>
      <c r="B20" s="94"/>
      <c r="C20" s="94" t="s">
        <v>1098</v>
      </c>
      <c r="D20" s="95" t="s">
        <v>1099</v>
      </c>
      <c r="E20" s="94" t="s">
        <v>55</v>
      </c>
      <c r="F20" s="97">
        <v>1.5</v>
      </c>
      <c r="G20" s="97"/>
      <c r="H20" s="97">
        <f>F20*AE20</f>
        <v>0</v>
      </c>
      <c r="I20" s="97">
        <f>J20-H20</f>
        <v>0</v>
      </c>
      <c r="J20" s="97">
        <f>F20*G20</f>
        <v>0</v>
      </c>
      <c r="K20" s="97">
        <v>0</v>
      </c>
      <c r="L20" s="97">
        <f>F20*K20</f>
        <v>0</v>
      </c>
      <c r="M20" s="98"/>
      <c r="P20" s="99">
        <f>IF(AG20="5",J20,0)</f>
        <v>0</v>
      </c>
      <c r="R20" s="99">
        <f>IF(AG20="1",H20,0)</f>
        <v>0</v>
      </c>
      <c r="S20" s="99">
        <f>IF(AG20="1",I20,0)</f>
        <v>0</v>
      </c>
      <c r="T20" s="99">
        <f>IF(AG20="7",H20,0)</f>
        <v>0</v>
      </c>
      <c r="U20" s="99">
        <f>IF(AG20="7",I20,0)</f>
        <v>0</v>
      </c>
      <c r="V20" s="99">
        <f>IF(AG20="2",H20,0)</f>
        <v>0</v>
      </c>
      <c r="W20" s="99">
        <f>IF(AG20="2",I20,0)</f>
        <v>0</v>
      </c>
      <c r="X20" s="99">
        <f>IF(AG20="0",J20,0)</f>
        <v>0</v>
      </c>
      <c r="Y20" s="90"/>
      <c r="Z20" s="97">
        <f>IF(AD20=0,J20,0)</f>
        <v>0</v>
      </c>
      <c r="AA20" s="97">
        <f>IF(AD20=15,J20,0)</f>
        <v>0</v>
      </c>
      <c r="AB20" s="97">
        <f>IF(AD20=21,J20,0)</f>
        <v>0</v>
      </c>
      <c r="AD20" s="99">
        <v>0</v>
      </c>
      <c r="AE20" s="99">
        <f>G20*0</f>
        <v>0</v>
      </c>
      <c r="AF20" s="99">
        <f>G20*(1-0)</f>
        <v>0</v>
      </c>
      <c r="AG20" s="98" t="s">
        <v>18</v>
      </c>
      <c r="AM20" s="99">
        <f>F20*AE20</f>
        <v>0</v>
      </c>
      <c r="AN20" s="99">
        <f>F20*AF20</f>
        <v>0</v>
      </c>
      <c r="AO20" s="100" t="s">
        <v>1096</v>
      </c>
      <c r="AP20" s="100" t="s">
        <v>1081</v>
      </c>
      <c r="AQ20" s="90" t="s">
        <v>758</v>
      </c>
      <c r="AS20" s="99">
        <f>AM20+AN20</f>
        <v>0</v>
      </c>
      <c r="AT20" s="99">
        <f>G20/(100-AU20)*100</f>
        <v>0</v>
      </c>
      <c r="AU20" s="99">
        <v>0</v>
      </c>
      <c r="AV20" s="99">
        <f>L20</f>
        <v>0</v>
      </c>
    </row>
    <row r="21" spans="1:48">
      <c r="A21" s="94" t="s">
        <v>1100</v>
      </c>
      <c r="B21" s="94"/>
      <c r="C21" s="94" t="s">
        <v>1101</v>
      </c>
      <c r="D21" s="95" t="s">
        <v>1102</v>
      </c>
      <c r="E21" s="94" t="s">
        <v>55</v>
      </c>
      <c r="F21" s="97">
        <v>1.5</v>
      </c>
      <c r="G21" s="97"/>
      <c r="H21" s="97">
        <f>F21*AE21</f>
        <v>0</v>
      </c>
      <c r="I21" s="97">
        <f>J21-H21</f>
        <v>0</v>
      </c>
      <c r="J21" s="97">
        <f>F21*G21</f>
        <v>0</v>
      </c>
      <c r="K21" s="97">
        <v>0</v>
      </c>
      <c r="L21" s="97">
        <f>F21*K21</f>
        <v>0</v>
      </c>
      <c r="M21" s="98" t="s">
        <v>882</v>
      </c>
      <c r="P21" s="99">
        <f>IF(AG21="5",J21,0)</f>
        <v>0</v>
      </c>
      <c r="R21" s="99">
        <f>IF(AG21="1",H21,0)</f>
        <v>0</v>
      </c>
      <c r="S21" s="99">
        <f>IF(AG21="1",I21,0)</f>
        <v>0</v>
      </c>
      <c r="T21" s="99">
        <f>IF(AG21="7",H21,0)</f>
        <v>0</v>
      </c>
      <c r="U21" s="99">
        <f>IF(AG21="7",I21,0)</f>
        <v>0</v>
      </c>
      <c r="V21" s="99">
        <f>IF(AG21="2",H21,0)</f>
        <v>0</v>
      </c>
      <c r="W21" s="99">
        <f>IF(AG21="2",I21,0)</f>
        <v>0</v>
      </c>
      <c r="X21" s="99">
        <f>IF(AG21="0",J21,0)</f>
        <v>0</v>
      </c>
      <c r="Y21" s="90"/>
      <c r="Z21" s="97">
        <f>IF(AD21=0,J21,0)</f>
        <v>0</v>
      </c>
      <c r="AA21" s="97">
        <f>IF(AD21=15,J21,0)</f>
        <v>0</v>
      </c>
      <c r="AB21" s="97">
        <f>IF(AD21=21,J21,0)</f>
        <v>0</v>
      </c>
      <c r="AD21" s="99">
        <v>0</v>
      </c>
      <c r="AE21" s="99">
        <f>G21*0</f>
        <v>0</v>
      </c>
      <c r="AF21" s="99">
        <f>G21*(1-0)</f>
        <v>0</v>
      </c>
      <c r="AG21" s="98" t="s">
        <v>18</v>
      </c>
      <c r="AM21" s="99">
        <f>F21*AE21</f>
        <v>0</v>
      </c>
      <c r="AN21" s="99">
        <f>F21*AF21</f>
        <v>0</v>
      </c>
      <c r="AO21" s="100" t="s">
        <v>1096</v>
      </c>
      <c r="AP21" s="100" t="s">
        <v>1081</v>
      </c>
      <c r="AQ21" s="90" t="s">
        <v>758</v>
      </c>
      <c r="AS21" s="99">
        <f>AM21+AN21</f>
        <v>0</v>
      </c>
      <c r="AT21" s="99">
        <f>G21/(100-AU21)*100</f>
        <v>0</v>
      </c>
      <c r="AU21" s="99">
        <v>0</v>
      </c>
      <c r="AV21" s="99">
        <f>L21</f>
        <v>0</v>
      </c>
    </row>
    <row r="22" spans="1:48">
      <c r="A22" s="91"/>
      <c r="B22" s="92"/>
      <c r="C22" s="92" t="s">
        <v>864</v>
      </c>
      <c r="D22" s="369" t="s">
        <v>1103</v>
      </c>
      <c r="E22" s="370"/>
      <c r="F22" s="370"/>
      <c r="G22" s="370"/>
      <c r="H22" s="93">
        <f>SUM(H23:H23)</f>
        <v>0</v>
      </c>
      <c r="I22" s="93">
        <f>SUM(I23:I23)</f>
        <v>0</v>
      </c>
      <c r="J22" s="93">
        <f>H22+I22</f>
        <v>0</v>
      </c>
      <c r="K22" s="90"/>
      <c r="L22" s="93">
        <f>SUM(L23:L23)</f>
        <v>1.6983000000000001</v>
      </c>
      <c r="M22" s="90"/>
      <c r="Y22" s="90"/>
      <c r="AI22" s="93">
        <f>SUM(Z23:Z23)</f>
        <v>0</v>
      </c>
      <c r="AJ22" s="93">
        <f>SUM(AA23:AA23)</f>
        <v>0</v>
      </c>
      <c r="AK22" s="93">
        <f>SUM(AB23:AB23)</f>
        <v>0</v>
      </c>
    </row>
    <row r="23" spans="1:48">
      <c r="A23" s="94" t="s">
        <v>1104</v>
      </c>
      <c r="B23" s="94"/>
      <c r="C23" s="94" t="s">
        <v>1105</v>
      </c>
      <c r="D23" s="95" t="s">
        <v>1106</v>
      </c>
      <c r="E23" s="94" t="s">
        <v>55</v>
      </c>
      <c r="F23" s="97">
        <v>1.5</v>
      </c>
      <c r="G23" s="97"/>
      <c r="H23" s="97">
        <f>F23*AE23</f>
        <v>0</v>
      </c>
      <c r="I23" s="97">
        <f>J23-H23</f>
        <v>0</v>
      </c>
      <c r="J23" s="97">
        <f>F23*G23</f>
        <v>0</v>
      </c>
      <c r="K23" s="97">
        <v>1.1322000000000001</v>
      </c>
      <c r="L23" s="97">
        <f>F23*K23</f>
        <v>1.6983000000000001</v>
      </c>
      <c r="M23" s="98" t="s">
        <v>882</v>
      </c>
      <c r="P23" s="99">
        <f>IF(AG23="5",J23,0)</f>
        <v>0</v>
      </c>
      <c r="R23" s="99">
        <f>IF(AG23="1",H23,0)</f>
        <v>0</v>
      </c>
      <c r="S23" s="99">
        <f>IF(AG23="1",I23,0)</f>
        <v>0</v>
      </c>
      <c r="T23" s="99">
        <f>IF(AG23="7",H23,0)</f>
        <v>0</v>
      </c>
      <c r="U23" s="99">
        <f>IF(AG23="7",I23,0)</f>
        <v>0</v>
      </c>
      <c r="V23" s="99">
        <f>IF(AG23="2",H23,0)</f>
        <v>0</v>
      </c>
      <c r="W23" s="99">
        <f>IF(AG23="2",I23,0)</f>
        <v>0</v>
      </c>
      <c r="X23" s="99">
        <f>IF(AG23="0",J23,0)</f>
        <v>0</v>
      </c>
      <c r="Y23" s="90"/>
      <c r="Z23" s="97">
        <f>IF(AD23=0,J23,0)</f>
        <v>0</v>
      </c>
      <c r="AA23" s="97">
        <f>IF(AD23=15,J23,0)</f>
        <v>0</v>
      </c>
      <c r="AB23" s="97">
        <f>IF(AD23=21,J23,0)</f>
        <v>0</v>
      </c>
      <c r="AD23" s="99">
        <v>0</v>
      </c>
      <c r="AE23" s="99">
        <f>G23*0.44952736318408</f>
        <v>0</v>
      </c>
      <c r="AF23" s="99">
        <f>G23*(1-0.44952736318408)</f>
        <v>0</v>
      </c>
      <c r="AG23" s="98" t="s">
        <v>18</v>
      </c>
      <c r="AM23" s="99">
        <f>F23*AE23</f>
        <v>0</v>
      </c>
      <c r="AN23" s="99">
        <f>F23*AF23</f>
        <v>0</v>
      </c>
      <c r="AO23" s="100" t="s">
        <v>1107</v>
      </c>
      <c r="AP23" s="100" t="s">
        <v>1108</v>
      </c>
      <c r="AQ23" s="90" t="s">
        <v>758</v>
      </c>
      <c r="AS23" s="99">
        <f>AM23+AN23</f>
        <v>0</v>
      </c>
      <c r="AT23" s="99">
        <f>G23/(100-AU23)*100</f>
        <v>0</v>
      </c>
      <c r="AU23" s="99">
        <v>0</v>
      </c>
      <c r="AV23" s="99">
        <f>L23</f>
        <v>1.6983000000000001</v>
      </c>
    </row>
    <row r="24" spans="1:48">
      <c r="A24" s="91"/>
      <c r="B24" s="92"/>
      <c r="C24" s="92" t="s">
        <v>1109</v>
      </c>
      <c r="D24" s="369" t="s">
        <v>1110</v>
      </c>
      <c r="E24" s="370"/>
      <c r="F24" s="370"/>
      <c r="G24" s="370"/>
      <c r="H24" s="93">
        <f>SUM(H25:H46)</f>
        <v>0</v>
      </c>
      <c r="I24" s="93">
        <f>SUM(I25:I46)</f>
        <v>0</v>
      </c>
      <c r="J24" s="93">
        <f>H24+I24</f>
        <v>0</v>
      </c>
      <c r="K24" s="90"/>
      <c r="L24" s="93">
        <f>SUM(L25:L46)</f>
        <v>0.27009500000000003</v>
      </c>
      <c r="M24" s="90"/>
      <c r="Y24" s="90"/>
      <c r="AI24" s="93">
        <f>SUM(Z25:Z46)</f>
        <v>0</v>
      </c>
      <c r="AJ24" s="93">
        <f>SUM(AA25:AA46)</f>
        <v>0</v>
      </c>
      <c r="AK24" s="93">
        <f>SUM(AB25:AB46)</f>
        <v>0</v>
      </c>
    </row>
    <row r="25" spans="1:48" ht="25.5">
      <c r="A25" s="94" t="s">
        <v>1111</v>
      </c>
      <c r="B25" s="94"/>
      <c r="C25" s="94" t="s">
        <v>1112</v>
      </c>
      <c r="D25" s="95" t="s">
        <v>1113</v>
      </c>
      <c r="E25" s="94" t="s">
        <v>62</v>
      </c>
      <c r="F25" s="97">
        <v>9</v>
      </c>
      <c r="G25" s="97"/>
      <c r="H25" s="97">
        <f t="shared" ref="H25:H46" si="0">F25*AE25</f>
        <v>0</v>
      </c>
      <c r="I25" s="97">
        <f t="shared" ref="I25:I46" si="1">J25-H25</f>
        <v>0</v>
      </c>
      <c r="J25" s="97">
        <f t="shared" ref="J25:J46" si="2">F25*G25</f>
        <v>0</v>
      </c>
      <c r="K25" s="97">
        <v>2.2000000000000001E-3</v>
      </c>
      <c r="L25" s="97">
        <f t="shared" ref="L25:L46" si="3">F25*K25</f>
        <v>1.9800000000000002E-2</v>
      </c>
      <c r="M25" s="98"/>
      <c r="P25" s="99">
        <f t="shared" ref="P25:P46" si="4">IF(AG25="5",J25,0)</f>
        <v>0</v>
      </c>
      <c r="R25" s="99">
        <f t="shared" ref="R25:R46" si="5">IF(AG25="1",H25,0)</f>
        <v>0</v>
      </c>
      <c r="S25" s="99">
        <f t="shared" ref="S25:S46" si="6">IF(AG25="1",I25,0)</f>
        <v>0</v>
      </c>
      <c r="T25" s="99">
        <f t="shared" ref="T25:T46" si="7">IF(AG25="7",H25,0)</f>
        <v>0</v>
      </c>
      <c r="U25" s="99">
        <f t="shared" ref="U25:U46" si="8">IF(AG25="7",I25,0)</f>
        <v>0</v>
      </c>
      <c r="V25" s="99">
        <f t="shared" ref="V25:V46" si="9">IF(AG25="2",H25,0)</f>
        <v>0</v>
      </c>
      <c r="W25" s="99">
        <f t="shared" ref="W25:W46" si="10">IF(AG25="2",I25,0)</f>
        <v>0</v>
      </c>
      <c r="X25" s="99">
        <f t="shared" ref="X25:X46" si="11">IF(AG25="0",J25,0)</f>
        <v>0</v>
      </c>
      <c r="Y25" s="90"/>
      <c r="Z25" s="97">
        <f t="shared" ref="Z25:Z46" si="12">IF(AD25=0,J25,0)</f>
        <v>0</v>
      </c>
      <c r="AA25" s="97">
        <f t="shared" ref="AA25:AA46" si="13">IF(AD25=15,J25,0)</f>
        <v>0</v>
      </c>
      <c r="AB25" s="97">
        <f t="shared" ref="AB25:AB46" si="14">IF(AD25=21,J25,0)</f>
        <v>0</v>
      </c>
      <c r="AD25" s="99">
        <v>0</v>
      </c>
      <c r="AE25" s="99">
        <f>G25*0.369369369369369</f>
        <v>0</v>
      </c>
      <c r="AF25" s="99">
        <f>G25*(1-0.369369369369369)</f>
        <v>0</v>
      </c>
      <c r="AG25" s="98" t="s">
        <v>1100</v>
      </c>
      <c r="AM25" s="99">
        <f t="shared" ref="AM25:AM46" si="15">F25*AE25</f>
        <v>0</v>
      </c>
      <c r="AN25" s="99">
        <f t="shared" ref="AN25:AN46" si="16">F25*AF25</f>
        <v>0</v>
      </c>
      <c r="AO25" s="100" t="s">
        <v>1114</v>
      </c>
      <c r="AP25" s="100" t="s">
        <v>757</v>
      </c>
      <c r="AQ25" s="90" t="s">
        <v>758</v>
      </c>
      <c r="AS25" s="99">
        <f t="shared" ref="AS25:AS46" si="17">AM25+AN25</f>
        <v>0</v>
      </c>
      <c r="AT25" s="99">
        <f t="shared" ref="AT25:AT46" si="18">G25/(100-AU25)*100</f>
        <v>0</v>
      </c>
      <c r="AU25" s="99">
        <v>0</v>
      </c>
      <c r="AV25" s="99">
        <f t="shared" ref="AV25:AV46" si="19">L25</f>
        <v>1.9800000000000002E-2</v>
      </c>
    </row>
    <row r="26" spans="1:48">
      <c r="A26" s="94" t="s">
        <v>1115</v>
      </c>
      <c r="B26" s="94"/>
      <c r="C26" s="94" t="s">
        <v>1116</v>
      </c>
      <c r="D26" s="95" t="s">
        <v>1117</v>
      </c>
      <c r="E26" s="94" t="s">
        <v>62</v>
      </c>
      <c r="F26" s="97">
        <v>9</v>
      </c>
      <c r="G26" s="97"/>
      <c r="H26" s="97">
        <f t="shared" si="0"/>
        <v>0</v>
      </c>
      <c r="I26" s="97">
        <f t="shared" si="1"/>
        <v>0</v>
      </c>
      <c r="J26" s="97">
        <f t="shared" si="2"/>
        <v>0</v>
      </c>
      <c r="K26" s="97">
        <v>0</v>
      </c>
      <c r="L26" s="97">
        <f t="shared" si="3"/>
        <v>0</v>
      </c>
      <c r="M26" s="98"/>
      <c r="P26" s="99">
        <f t="shared" si="4"/>
        <v>0</v>
      </c>
      <c r="R26" s="99">
        <f t="shared" si="5"/>
        <v>0</v>
      </c>
      <c r="S26" s="99">
        <f t="shared" si="6"/>
        <v>0</v>
      </c>
      <c r="T26" s="99">
        <f t="shared" si="7"/>
        <v>0</v>
      </c>
      <c r="U26" s="99">
        <f t="shared" si="8"/>
        <v>0</v>
      </c>
      <c r="V26" s="99">
        <f t="shared" si="9"/>
        <v>0</v>
      </c>
      <c r="W26" s="99">
        <f t="shared" si="10"/>
        <v>0</v>
      </c>
      <c r="X26" s="99">
        <f t="shared" si="11"/>
        <v>0</v>
      </c>
      <c r="Y26" s="90"/>
      <c r="Z26" s="97">
        <f t="shared" si="12"/>
        <v>0</v>
      </c>
      <c r="AA26" s="97">
        <f t="shared" si="13"/>
        <v>0</v>
      </c>
      <c r="AB26" s="97">
        <f t="shared" si="14"/>
        <v>0</v>
      </c>
      <c r="AD26" s="99">
        <v>0</v>
      </c>
      <c r="AE26" s="99">
        <f>G26*0.844444444444444</f>
        <v>0</v>
      </c>
      <c r="AF26" s="99">
        <f>G26*(1-0.844444444444444)</f>
        <v>0</v>
      </c>
      <c r="AG26" s="98" t="s">
        <v>1100</v>
      </c>
      <c r="AM26" s="99">
        <f t="shared" si="15"/>
        <v>0</v>
      </c>
      <c r="AN26" s="99">
        <f t="shared" si="16"/>
        <v>0</v>
      </c>
      <c r="AO26" s="100" t="s">
        <v>1114</v>
      </c>
      <c r="AP26" s="100" t="s">
        <v>757</v>
      </c>
      <c r="AQ26" s="90" t="s">
        <v>758</v>
      </c>
      <c r="AS26" s="99">
        <f t="shared" si="17"/>
        <v>0</v>
      </c>
      <c r="AT26" s="99">
        <f t="shared" si="18"/>
        <v>0</v>
      </c>
      <c r="AU26" s="99">
        <v>0</v>
      </c>
      <c r="AV26" s="99">
        <f t="shared" si="19"/>
        <v>0</v>
      </c>
    </row>
    <row r="27" spans="1:48" ht="25.5">
      <c r="A27" s="94" t="s">
        <v>1118</v>
      </c>
      <c r="B27" s="94"/>
      <c r="C27" s="94" t="s">
        <v>1119</v>
      </c>
      <c r="D27" s="95" t="s">
        <v>1120</v>
      </c>
      <c r="E27" s="94" t="s">
        <v>62</v>
      </c>
      <c r="F27" s="97">
        <v>1</v>
      </c>
      <c r="G27" s="97"/>
      <c r="H27" s="97">
        <f t="shared" si="0"/>
        <v>0</v>
      </c>
      <c r="I27" s="97">
        <f t="shared" si="1"/>
        <v>0</v>
      </c>
      <c r="J27" s="97">
        <f t="shared" si="2"/>
        <v>0</v>
      </c>
      <c r="K27" s="97">
        <v>2.3E-3</v>
      </c>
      <c r="L27" s="97">
        <f t="shared" si="3"/>
        <v>2.3E-3</v>
      </c>
      <c r="M27" s="98"/>
      <c r="P27" s="99">
        <f t="shared" si="4"/>
        <v>0</v>
      </c>
      <c r="R27" s="99">
        <f t="shared" si="5"/>
        <v>0</v>
      </c>
      <c r="S27" s="99">
        <f t="shared" si="6"/>
        <v>0</v>
      </c>
      <c r="T27" s="99">
        <f t="shared" si="7"/>
        <v>0</v>
      </c>
      <c r="U27" s="99">
        <f t="shared" si="8"/>
        <v>0</v>
      </c>
      <c r="V27" s="99">
        <f t="shared" si="9"/>
        <v>0</v>
      </c>
      <c r="W27" s="99">
        <f t="shared" si="10"/>
        <v>0</v>
      </c>
      <c r="X27" s="99">
        <f t="shared" si="11"/>
        <v>0</v>
      </c>
      <c r="Y27" s="90"/>
      <c r="Z27" s="97">
        <f t="shared" si="12"/>
        <v>0</v>
      </c>
      <c r="AA27" s="97">
        <f t="shared" si="13"/>
        <v>0</v>
      </c>
      <c r="AB27" s="97">
        <f t="shared" si="14"/>
        <v>0</v>
      </c>
      <c r="AD27" s="99">
        <v>0</v>
      </c>
      <c r="AE27" s="99">
        <f>G27*0.588235294117647</f>
        <v>0</v>
      </c>
      <c r="AF27" s="99">
        <f>G27*(1-0.588235294117647)</f>
        <v>0</v>
      </c>
      <c r="AG27" s="98" t="s">
        <v>1100</v>
      </c>
      <c r="AM27" s="99">
        <f t="shared" si="15"/>
        <v>0</v>
      </c>
      <c r="AN27" s="99">
        <f t="shared" si="16"/>
        <v>0</v>
      </c>
      <c r="AO27" s="100" t="s">
        <v>1114</v>
      </c>
      <c r="AP27" s="100" t="s">
        <v>757</v>
      </c>
      <c r="AQ27" s="90" t="s">
        <v>758</v>
      </c>
      <c r="AS27" s="99">
        <f t="shared" si="17"/>
        <v>0</v>
      </c>
      <c r="AT27" s="99">
        <f t="shared" si="18"/>
        <v>0</v>
      </c>
      <c r="AU27" s="99">
        <v>0</v>
      </c>
      <c r="AV27" s="99">
        <f t="shared" si="19"/>
        <v>2.3E-3</v>
      </c>
    </row>
    <row r="28" spans="1:48">
      <c r="A28" s="94" t="s">
        <v>1121</v>
      </c>
      <c r="B28" s="94"/>
      <c r="C28" s="94" t="s">
        <v>1122</v>
      </c>
      <c r="D28" s="95" t="s">
        <v>1123</v>
      </c>
      <c r="E28" s="94" t="s">
        <v>62</v>
      </c>
      <c r="F28" s="97">
        <v>0.5</v>
      </c>
      <c r="G28" s="97"/>
      <c r="H28" s="97">
        <f t="shared" si="0"/>
        <v>0</v>
      </c>
      <c r="I28" s="97">
        <f t="shared" si="1"/>
        <v>0</v>
      </c>
      <c r="J28" s="97">
        <f t="shared" si="2"/>
        <v>0</v>
      </c>
      <c r="K28" s="97">
        <v>1.455E-2</v>
      </c>
      <c r="L28" s="97">
        <f t="shared" si="3"/>
        <v>7.2750000000000002E-3</v>
      </c>
      <c r="M28" s="98" t="s">
        <v>882</v>
      </c>
      <c r="P28" s="99">
        <f t="shared" si="4"/>
        <v>0</v>
      </c>
      <c r="R28" s="99">
        <f t="shared" si="5"/>
        <v>0</v>
      </c>
      <c r="S28" s="99">
        <f t="shared" si="6"/>
        <v>0</v>
      </c>
      <c r="T28" s="99">
        <f t="shared" si="7"/>
        <v>0</v>
      </c>
      <c r="U28" s="99">
        <f t="shared" si="8"/>
        <v>0</v>
      </c>
      <c r="V28" s="99">
        <f t="shared" si="9"/>
        <v>0</v>
      </c>
      <c r="W28" s="99">
        <f t="shared" si="10"/>
        <v>0</v>
      </c>
      <c r="X28" s="99">
        <f t="shared" si="11"/>
        <v>0</v>
      </c>
      <c r="Y28" s="90"/>
      <c r="Z28" s="97">
        <f t="shared" si="12"/>
        <v>0</v>
      </c>
      <c r="AA28" s="97">
        <f t="shared" si="13"/>
        <v>0</v>
      </c>
      <c r="AB28" s="97">
        <f t="shared" si="14"/>
        <v>0</v>
      </c>
      <c r="AD28" s="99">
        <v>0</v>
      </c>
      <c r="AE28" s="99">
        <f>G28*0.341849568434032</f>
        <v>0</v>
      </c>
      <c r="AF28" s="99">
        <f>G28*(1-0.341849568434032)</f>
        <v>0</v>
      </c>
      <c r="AG28" s="98" t="s">
        <v>1100</v>
      </c>
      <c r="AM28" s="99">
        <f t="shared" si="15"/>
        <v>0</v>
      </c>
      <c r="AN28" s="99">
        <f t="shared" si="16"/>
        <v>0</v>
      </c>
      <c r="AO28" s="100" t="s">
        <v>1114</v>
      </c>
      <c r="AP28" s="100" t="s">
        <v>757</v>
      </c>
      <c r="AQ28" s="90" t="s">
        <v>758</v>
      </c>
      <c r="AS28" s="99">
        <f t="shared" si="17"/>
        <v>0</v>
      </c>
      <c r="AT28" s="99">
        <f t="shared" si="18"/>
        <v>0</v>
      </c>
      <c r="AU28" s="99">
        <v>0</v>
      </c>
      <c r="AV28" s="99">
        <f t="shared" si="19"/>
        <v>7.2750000000000002E-3</v>
      </c>
    </row>
    <row r="29" spans="1:48">
      <c r="A29" s="94" t="s">
        <v>752</v>
      </c>
      <c r="B29" s="94"/>
      <c r="C29" s="94" t="s">
        <v>1124</v>
      </c>
      <c r="D29" s="95" t="s">
        <v>1125</v>
      </c>
      <c r="E29" s="94" t="s">
        <v>62</v>
      </c>
      <c r="F29" s="97">
        <v>6</v>
      </c>
      <c r="G29" s="97"/>
      <c r="H29" s="97">
        <f t="shared" si="0"/>
        <v>0</v>
      </c>
      <c r="I29" s="97">
        <f t="shared" si="1"/>
        <v>0</v>
      </c>
      <c r="J29" s="97">
        <f t="shared" si="2"/>
        <v>0</v>
      </c>
      <c r="K29" s="97">
        <v>2.1690000000000001E-2</v>
      </c>
      <c r="L29" s="97">
        <f t="shared" si="3"/>
        <v>0.13014000000000001</v>
      </c>
      <c r="M29" s="98" t="s">
        <v>882</v>
      </c>
      <c r="P29" s="99">
        <f t="shared" si="4"/>
        <v>0</v>
      </c>
      <c r="R29" s="99">
        <f t="shared" si="5"/>
        <v>0</v>
      </c>
      <c r="S29" s="99">
        <f t="shared" si="6"/>
        <v>0</v>
      </c>
      <c r="T29" s="99">
        <f t="shared" si="7"/>
        <v>0</v>
      </c>
      <c r="U29" s="99">
        <f t="shared" si="8"/>
        <v>0</v>
      </c>
      <c r="V29" s="99">
        <f t="shared" si="9"/>
        <v>0</v>
      </c>
      <c r="W29" s="99">
        <f t="shared" si="10"/>
        <v>0</v>
      </c>
      <c r="X29" s="99">
        <f t="shared" si="11"/>
        <v>0</v>
      </c>
      <c r="Y29" s="90"/>
      <c r="Z29" s="97">
        <f t="shared" si="12"/>
        <v>0</v>
      </c>
      <c r="AA29" s="97">
        <f t="shared" si="13"/>
        <v>0</v>
      </c>
      <c r="AB29" s="97">
        <f t="shared" si="14"/>
        <v>0</v>
      </c>
      <c r="AD29" s="99">
        <v>0</v>
      </c>
      <c r="AE29" s="99">
        <f>G29*0.440775347912525</f>
        <v>0</v>
      </c>
      <c r="AF29" s="99">
        <f>G29*(1-0.440775347912525)</f>
        <v>0</v>
      </c>
      <c r="AG29" s="98" t="s">
        <v>1100</v>
      </c>
      <c r="AM29" s="99">
        <f t="shared" si="15"/>
        <v>0</v>
      </c>
      <c r="AN29" s="99">
        <f t="shared" si="16"/>
        <v>0</v>
      </c>
      <c r="AO29" s="100" t="s">
        <v>1114</v>
      </c>
      <c r="AP29" s="100" t="s">
        <v>757</v>
      </c>
      <c r="AQ29" s="90" t="s">
        <v>758</v>
      </c>
      <c r="AS29" s="99">
        <f t="shared" si="17"/>
        <v>0</v>
      </c>
      <c r="AT29" s="99">
        <f t="shared" si="18"/>
        <v>0</v>
      </c>
      <c r="AU29" s="99">
        <v>0</v>
      </c>
      <c r="AV29" s="99">
        <f t="shared" si="19"/>
        <v>0.13014000000000001</v>
      </c>
    </row>
    <row r="30" spans="1:48">
      <c r="A30" s="94" t="s">
        <v>760</v>
      </c>
      <c r="B30" s="94"/>
      <c r="C30" s="94" t="s">
        <v>1126</v>
      </c>
      <c r="D30" s="95" t="s">
        <v>1127</v>
      </c>
      <c r="E30" s="94" t="s">
        <v>62</v>
      </c>
      <c r="F30" s="97">
        <v>0.5</v>
      </c>
      <c r="G30" s="97"/>
      <c r="H30" s="97">
        <f t="shared" si="0"/>
        <v>0</v>
      </c>
      <c r="I30" s="97">
        <f t="shared" si="1"/>
        <v>0</v>
      </c>
      <c r="J30" s="97">
        <f t="shared" si="2"/>
        <v>0</v>
      </c>
      <c r="K30" s="97">
        <v>8.2799999999999992E-3</v>
      </c>
      <c r="L30" s="97">
        <f t="shared" si="3"/>
        <v>4.1399999999999996E-3</v>
      </c>
      <c r="M30" s="98" t="s">
        <v>882</v>
      </c>
      <c r="P30" s="99">
        <f t="shared" si="4"/>
        <v>0</v>
      </c>
      <c r="R30" s="99">
        <f t="shared" si="5"/>
        <v>0</v>
      </c>
      <c r="S30" s="99">
        <f t="shared" si="6"/>
        <v>0</v>
      </c>
      <c r="T30" s="99">
        <f t="shared" si="7"/>
        <v>0</v>
      </c>
      <c r="U30" s="99">
        <f t="shared" si="8"/>
        <v>0</v>
      </c>
      <c r="V30" s="99">
        <f t="shared" si="9"/>
        <v>0</v>
      </c>
      <c r="W30" s="99">
        <f t="shared" si="10"/>
        <v>0</v>
      </c>
      <c r="X30" s="99">
        <f t="shared" si="11"/>
        <v>0</v>
      </c>
      <c r="Y30" s="90"/>
      <c r="Z30" s="97">
        <f t="shared" si="12"/>
        <v>0</v>
      </c>
      <c r="AA30" s="97">
        <f t="shared" si="13"/>
        <v>0</v>
      </c>
      <c r="AB30" s="97">
        <f t="shared" si="14"/>
        <v>0</v>
      </c>
      <c r="AD30" s="99">
        <v>0</v>
      </c>
      <c r="AE30" s="99">
        <f>G30*0.655508524595693</f>
        <v>0</v>
      </c>
      <c r="AF30" s="99">
        <f>G30*(1-0.655508524595693)</f>
        <v>0</v>
      </c>
      <c r="AG30" s="98" t="s">
        <v>1100</v>
      </c>
      <c r="AM30" s="99">
        <f t="shared" si="15"/>
        <v>0</v>
      </c>
      <c r="AN30" s="99">
        <f t="shared" si="16"/>
        <v>0</v>
      </c>
      <c r="AO30" s="100" t="s">
        <v>1114</v>
      </c>
      <c r="AP30" s="100" t="s">
        <v>757</v>
      </c>
      <c r="AQ30" s="90" t="s">
        <v>758</v>
      </c>
      <c r="AS30" s="99">
        <f t="shared" si="17"/>
        <v>0</v>
      </c>
      <c r="AT30" s="99">
        <f t="shared" si="18"/>
        <v>0</v>
      </c>
      <c r="AU30" s="99">
        <v>0</v>
      </c>
      <c r="AV30" s="99">
        <f t="shared" si="19"/>
        <v>4.1399999999999996E-3</v>
      </c>
    </row>
    <row r="31" spans="1:48">
      <c r="A31" s="94" t="s">
        <v>764</v>
      </c>
      <c r="B31" s="94"/>
      <c r="C31" s="94" t="s">
        <v>1128</v>
      </c>
      <c r="D31" s="95" t="s">
        <v>1129</v>
      </c>
      <c r="E31" s="94" t="s">
        <v>52</v>
      </c>
      <c r="F31" s="97">
        <v>1</v>
      </c>
      <c r="G31" s="97"/>
      <c r="H31" s="97">
        <f t="shared" si="0"/>
        <v>0</v>
      </c>
      <c r="I31" s="97">
        <f t="shared" si="1"/>
        <v>0</v>
      </c>
      <c r="J31" s="97">
        <f t="shared" si="2"/>
        <v>0</v>
      </c>
      <c r="K31" s="97">
        <v>1.2999999999999999E-3</v>
      </c>
      <c r="L31" s="97">
        <f t="shared" si="3"/>
        <v>1.2999999999999999E-3</v>
      </c>
      <c r="M31" s="98" t="s">
        <v>882</v>
      </c>
      <c r="P31" s="99">
        <f t="shared" si="4"/>
        <v>0</v>
      </c>
      <c r="R31" s="99">
        <f t="shared" si="5"/>
        <v>0</v>
      </c>
      <c r="S31" s="99">
        <f t="shared" si="6"/>
        <v>0</v>
      </c>
      <c r="T31" s="99">
        <f t="shared" si="7"/>
        <v>0</v>
      </c>
      <c r="U31" s="99">
        <f t="shared" si="8"/>
        <v>0</v>
      </c>
      <c r="V31" s="99">
        <f t="shared" si="9"/>
        <v>0</v>
      </c>
      <c r="W31" s="99">
        <f t="shared" si="10"/>
        <v>0</v>
      </c>
      <c r="X31" s="99">
        <f t="shared" si="11"/>
        <v>0</v>
      </c>
      <c r="Y31" s="90"/>
      <c r="Z31" s="97">
        <f t="shared" si="12"/>
        <v>0</v>
      </c>
      <c r="AA31" s="97">
        <f t="shared" si="13"/>
        <v>0</v>
      </c>
      <c r="AB31" s="97">
        <f t="shared" si="14"/>
        <v>0</v>
      </c>
      <c r="AD31" s="99">
        <v>0</v>
      </c>
      <c r="AE31" s="99">
        <f>G31*0.855194957281494</f>
        <v>0</v>
      </c>
      <c r="AF31" s="99">
        <f>G31*(1-0.855194957281494)</f>
        <v>0</v>
      </c>
      <c r="AG31" s="98" t="s">
        <v>1100</v>
      </c>
      <c r="AM31" s="99">
        <f t="shared" si="15"/>
        <v>0</v>
      </c>
      <c r="AN31" s="99">
        <f t="shared" si="16"/>
        <v>0</v>
      </c>
      <c r="AO31" s="100" t="s">
        <v>1114</v>
      </c>
      <c r="AP31" s="100" t="s">
        <v>757</v>
      </c>
      <c r="AQ31" s="90" t="s">
        <v>758</v>
      </c>
      <c r="AS31" s="99">
        <f t="shared" si="17"/>
        <v>0</v>
      </c>
      <c r="AT31" s="99">
        <f t="shared" si="18"/>
        <v>0</v>
      </c>
      <c r="AU31" s="99">
        <v>0</v>
      </c>
      <c r="AV31" s="99">
        <f t="shared" si="19"/>
        <v>1.2999999999999999E-3</v>
      </c>
    </row>
    <row r="32" spans="1:48">
      <c r="A32" s="94" t="s">
        <v>768</v>
      </c>
      <c r="B32" s="94"/>
      <c r="C32" s="94" t="s">
        <v>1130</v>
      </c>
      <c r="D32" s="95" t="s">
        <v>1131</v>
      </c>
      <c r="E32" s="94" t="s">
        <v>52</v>
      </c>
      <c r="F32" s="97">
        <v>1</v>
      </c>
      <c r="G32" s="97"/>
      <c r="H32" s="97">
        <f t="shared" si="0"/>
        <v>0</v>
      </c>
      <c r="I32" s="97">
        <f t="shared" si="1"/>
        <v>0</v>
      </c>
      <c r="J32" s="97">
        <f t="shared" si="2"/>
        <v>0</v>
      </c>
      <c r="K32" s="97">
        <v>3.8000000000000002E-4</v>
      </c>
      <c r="L32" s="97">
        <f t="shared" si="3"/>
        <v>3.8000000000000002E-4</v>
      </c>
      <c r="M32" s="98" t="s">
        <v>882</v>
      </c>
      <c r="P32" s="99">
        <f t="shared" si="4"/>
        <v>0</v>
      </c>
      <c r="R32" s="99">
        <f t="shared" si="5"/>
        <v>0</v>
      </c>
      <c r="S32" s="99">
        <f t="shared" si="6"/>
        <v>0</v>
      </c>
      <c r="T32" s="99">
        <f t="shared" si="7"/>
        <v>0</v>
      </c>
      <c r="U32" s="99">
        <f t="shared" si="8"/>
        <v>0</v>
      </c>
      <c r="V32" s="99">
        <f t="shared" si="9"/>
        <v>0</v>
      </c>
      <c r="W32" s="99">
        <f t="shared" si="10"/>
        <v>0</v>
      </c>
      <c r="X32" s="99">
        <f t="shared" si="11"/>
        <v>0</v>
      </c>
      <c r="Y32" s="90"/>
      <c r="Z32" s="97">
        <f t="shared" si="12"/>
        <v>0</v>
      </c>
      <c r="AA32" s="97">
        <f t="shared" si="13"/>
        <v>0</v>
      </c>
      <c r="AB32" s="97">
        <f t="shared" si="14"/>
        <v>0</v>
      </c>
      <c r="AD32" s="99">
        <v>0</v>
      </c>
      <c r="AE32" s="99">
        <f>G32*0.743995582957578</f>
        <v>0</v>
      </c>
      <c r="AF32" s="99">
        <f>G32*(1-0.743995582957578)</f>
        <v>0</v>
      </c>
      <c r="AG32" s="98" t="s">
        <v>1100</v>
      </c>
      <c r="AM32" s="99">
        <f t="shared" si="15"/>
        <v>0</v>
      </c>
      <c r="AN32" s="99">
        <f t="shared" si="16"/>
        <v>0</v>
      </c>
      <c r="AO32" s="100" t="s">
        <v>1114</v>
      </c>
      <c r="AP32" s="100" t="s">
        <v>757</v>
      </c>
      <c r="AQ32" s="90" t="s">
        <v>758</v>
      </c>
      <c r="AS32" s="99">
        <f t="shared" si="17"/>
        <v>0</v>
      </c>
      <c r="AT32" s="99">
        <f t="shared" si="18"/>
        <v>0</v>
      </c>
      <c r="AU32" s="99">
        <v>0</v>
      </c>
      <c r="AV32" s="99">
        <f t="shared" si="19"/>
        <v>3.8000000000000002E-4</v>
      </c>
    </row>
    <row r="33" spans="1:48">
      <c r="A33" s="94" t="s">
        <v>771</v>
      </c>
      <c r="B33" s="94"/>
      <c r="C33" s="94" t="s">
        <v>1132</v>
      </c>
      <c r="D33" s="95" t="s">
        <v>1133</v>
      </c>
      <c r="E33" s="94" t="s">
        <v>52</v>
      </c>
      <c r="F33" s="97">
        <v>1</v>
      </c>
      <c r="G33" s="97"/>
      <c r="H33" s="97">
        <f t="shared" si="0"/>
        <v>0</v>
      </c>
      <c r="I33" s="97">
        <f t="shared" si="1"/>
        <v>0</v>
      </c>
      <c r="J33" s="97">
        <f t="shared" si="2"/>
        <v>0</v>
      </c>
      <c r="K33" s="97">
        <v>2.4000000000000001E-4</v>
      </c>
      <c r="L33" s="97">
        <f t="shared" si="3"/>
        <v>2.4000000000000001E-4</v>
      </c>
      <c r="M33" s="98" t="s">
        <v>882</v>
      </c>
      <c r="P33" s="99">
        <f t="shared" si="4"/>
        <v>0</v>
      </c>
      <c r="R33" s="99">
        <f t="shared" si="5"/>
        <v>0</v>
      </c>
      <c r="S33" s="99">
        <f t="shared" si="6"/>
        <v>0</v>
      </c>
      <c r="T33" s="99">
        <f t="shared" si="7"/>
        <v>0</v>
      </c>
      <c r="U33" s="99">
        <f t="shared" si="8"/>
        <v>0</v>
      </c>
      <c r="V33" s="99">
        <f t="shared" si="9"/>
        <v>0</v>
      </c>
      <c r="W33" s="99">
        <f t="shared" si="10"/>
        <v>0</v>
      </c>
      <c r="X33" s="99">
        <f t="shared" si="11"/>
        <v>0</v>
      </c>
      <c r="Y33" s="90"/>
      <c r="Z33" s="97">
        <f t="shared" si="12"/>
        <v>0</v>
      </c>
      <c r="AA33" s="97">
        <f t="shared" si="13"/>
        <v>0</v>
      </c>
      <c r="AB33" s="97">
        <f t="shared" si="14"/>
        <v>0</v>
      </c>
      <c r="AD33" s="99">
        <v>0</v>
      </c>
      <c r="AE33" s="99">
        <f>G33*0.714352441613588</f>
        <v>0</v>
      </c>
      <c r="AF33" s="99">
        <f>G33*(1-0.714352441613588)</f>
        <v>0</v>
      </c>
      <c r="AG33" s="98" t="s">
        <v>1100</v>
      </c>
      <c r="AM33" s="99">
        <f t="shared" si="15"/>
        <v>0</v>
      </c>
      <c r="AN33" s="99">
        <f t="shared" si="16"/>
        <v>0</v>
      </c>
      <c r="AO33" s="100" t="s">
        <v>1114</v>
      </c>
      <c r="AP33" s="100" t="s">
        <v>757</v>
      </c>
      <c r="AQ33" s="90" t="s">
        <v>758</v>
      </c>
      <c r="AS33" s="99">
        <f t="shared" si="17"/>
        <v>0</v>
      </c>
      <c r="AT33" s="99">
        <f t="shared" si="18"/>
        <v>0</v>
      </c>
      <c r="AU33" s="99">
        <v>0</v>
      </c>
      <c r="AV33" s="99">
        <f t="shared" si="19"/>
        <v>2.4000000000000001E-4</v>
      </c>
    </row>
    <row r="34" spans="1:48">
      <c r="A34" s="94" t="s">
        <v>774</v>
      </c>
      <c r="B34" s="94"/>
      <c r="C34" s="94" t="s">
        <v>1132</v>
      </c>
      <c r="D34" s="95" t="s">
        <v>1134</v>
      </c>
      <c r="E34" s="94" t="s">
        <v>52</v>
      </c>
      <c r="F34" s="97">
        <v>1</v>
      </c>
      <c r="G34" s="97"/>
      <c r="H34" s="97">
        <f t="shared" si="0"/>
        <v>0</v>
      </c>
      <c r="I34" s="97">
        <f t="shared" si="1"/>
        <v>0</v>
      </c>
      <c r="J34" s="97">
        <f t="shared" si="2"/>
        <v>0</v>
      </c>
      <c r="K34" s="97">
        <v>2.4000000000000001E-4</v>
      </c>
      <c r="L34" s="97">
        <f t="shared" si="3"/>
        <v>2.4000000000000001E-4</v>
      </c>
      <c r="M34" s="98" t="s">
        <v>882</v>
      </c>
      <c r="P34" s="99">
        <f t="shared" si="4"/>
        <v>0</v>
      </c>
      <c r="R34" s="99">
        <f t="shared" si="5"/>
        <v>0</v>
      </c>
      <c r="S34" s="99">
        <f t="shared" si="6"/>
        <v>0</v>
      </c>
      <c r="T34" s="99">
        <f t="shared" si="7"/>
        <v>0</v>
      </c>
      <c r="U34" s="99">
        <f t="shared" si="8"/>
        <v>0</v>
      </c>
      <c r="V34" s="99">
        <f t="shared" si="9"/>
        <v>0</v>
      </c>
      <c r="W34" s="99">
        <f t="shared" si="10"/>
        <v>0</v>
      </c>
      <c r="X34" s="99">
        <f t="shared" si="11"/>
        <v>0</v>
      </c>
      <c r="Y34" s="90"/>
      <c r="Z34" s="97">
        <f t="shared" si="12"/>
        <v>0</v>
      </c>
      <c r="AA34" s="97">
        <f t="shared" si="13"/>
        <v>0</v>
      </c>
      <c r="AB34" s="97">
        <f t="shared" si="14"/>
        <v>0</v>
      </c>
      <c r="AD34" s="99">
        <v>0</v>
      </c>
      <c r="AE34" s="99">
        <f>G34*0.714352441613588</f>
        <v>0</v>
      </c>
      <c r="AF34" s="99">
        <f>G34*(1-0.714352441613588)</f>
        <v>0</v>
      </c>
      <c r="AG34" s="98" t="s">
        <v>1100</v>
      </c>
      <c r="AM34" s="99">
        <f t="shared" si="15"/>
        <v>0</v>
      </c>
      <c r="AN34" s="99">
        <f t="shared" si="16"/>
        <v>0</v>
      </c>
      <c r="AO34" s="100" t="s">
        <v>1114</v>
      </c>
      <c r="AP34" s="100" t="s">
        <v>757</v>
      </c>
      <c r="AQ34" s="90" t="s">
        <v>758</v>
      </c>
      <c r="AS34" s="99">
        <f t="shared" si="17"/>
        <v>0</v>
      </c>
      <c r="AT34" s="99">
        <f t="shared" si="18"/>
        <v>0</v>
      </c>
      <c r="AU34" s="99">
        <v>0</v>
      </c>
      <c r="AV34" s="99">
        <f t="shared" si="19"/>
        <v>2.4000000000000001E-4</v>
      </c>
    </row>
    <row r="35" spans="1:48" ht="25.5">
      <c r="A35" s="94" t="s">
        <v>777</v>
      </c>
      <c r="B35" s="94"/>
      <c r="C35" s="94" t="s">
        <v>1135</v>
      </c>
      <c r="D35" s="95" t="s">
        <v>1136</v>
      </c>
      <c r="E35" s="94" t="s">
        <v>792</v>
      </c>
      <c r="F35" s="97">
        <v>1</v>
      </c>
      <c r="G35" s="97"/>
      <c r="H35" s="97">
        <f t="shared" si="0"/>
        <v>0</v>
      </c>
      <c r="I35" s="97">
        <f t="shared" si="1"/>
        <v>0</v>
      </c>
      <c r="J35" s="97">
        <f t="shared" si="2"/>
        <v>0</v>
      </c>
      <c r="K35" s="97">
        <v>3.1E-2</v>
      </c>
      <c r="L35" s="97">
        <f t="shared" si="3"/>
        <v>3.1E-2</v>
      </c>
      <c r="M35" s="98"/>
      <c r="P35" s="99">
        <f t="shared" si="4"/>
        <v>0</v>
      </c>
      <c r="R35" s="99">
        <f t="shared" si="5"/>
        <v>0</v>
      </c>
      <c r="S35" s="99">
        <f t="shared" si="6"/>
        <v>0</v>
      </c>
      <c r="T35" s="99">
        <f t="shared" si="7"/>
        <v>0</v>
      </c>
      <c r="U35" s="99">
        <f t="shared" si="8"/>
        <v>0</v>
      </c>
      <c r="V35" s="99">
        <f t="shared" si="9"/>
        <v>0</v>
      </c>
      <c r="W35" s="99">
        <f t="shared" si="10"/>
        <v>0</v>
      </c>
      <c r="X35" s="99">
        <f t="shared" si="11"/>
        <v>0</v>
      </c>
      <c r="Y35" s="90"/>
      <c r="Z35" s="97">
        <f t="shared" si="12"/>
        <v>0</v>
      </c>
      <c r="AA35" s="97">
        <f t="shared" si="13"/>
        <v>0</v>
      </c>
      <c r="AB35" s="97">
        <f t="shared" si="14"/>
        <v>0</v>
      </c>
      <c r="AD35" s="99">
        <v>0</v>
      </c>
      <c r="AE35" s="99">
        <f>G35*0.941747572815534</f>
        <v>0</v>
      </c>
      <c r="AF35" s="99">
        <f>G35*(1-0.941747572815534)</f>
        <v>0</v>
      </c>
      <c r="AG35" s="98" t="s">
        <v>1100</v>
      </c>
      <c r="AM35" s="99">
        <f t="shared" si="15"/>
        <v>0</v>
      </c>
      <c r="AN35" s="99">
        <f t="shared" si="16"/>
        <v>0</v>
      </c>
      <c r="AO35" s="100" t="s">
        <v>1114</v>
      </c>
      <c r="AP35" s="100" t="s">
        <v>757</v>
      </c>
      <c r="AQ35" s="90" t="s">
        <v>758</v>
      </c>
      <c r="AS35" s="99">
        <f t="shared" si="17"/>
        <v>0</v>
      </c>
      <c r="AT35" s="99">
        <f t="shared" si="18"/>
        <v>0</v>
      </c>
      <c r="AU35" s="99">
        <v>0</v>
      </c>
      <c r="AV35" s="99">
        <f t="shared" si="19"/>
        <v>3.1E-2</v>
      </c>
    </row>
    <row r="36" spans="1:48" ht="25.5">
      <c r="A36" s="94" t="s">
        <v>780</v>
      </c>
      <c r="B36" s="94"/>
      <c r="C36" s="94" t="s">
        <v>1137</v>
      </c>
      <c r="D36" s="95" t="s">
        <v>1138</v>
      </c>
      <c r="E36" s="94" t="s">
        <v>792</v>
      </c>
      <c r="F36" s="97">
        <v>1</v>
      </c>
      <c r="G36" s="97"/>
      <c r="H36" s="97">
        <f t="shared" si="0"/>
        <v>0</v>
      </c>
      <c r="I36" s="97">
        <f t="shared" si="1"/>
        <v>0</v>
      </c>
      <c r="J36" s="97">
        <f t="shared" si="2"/>
        <v>0</v>
      </c>
      <c r="K36" s="97">
        <v>3.0000000000000001E-3</v>
      </c>
      <c r="L36" s="97">
        <f t="shared" si="3"/>
        <v>3.0000000000000001E-3</v>
      </c>
      <c r="M36" s="98"/>
      <c r="P36" s="99">
        <f t="shared" si="4"/>
        <v>0</v>
      </c>
      <c r="R36" s="99">
        <f t="shared" si="5"/>
        <v>0</v>
      </c>
      <c r="S36" s="99">
        <f t="shared" si="6"/>
        <v>0</v>
      </c>
      <c r="T36" s="99">
        <f t="shared" si="7"/>
        <v>0</v>
      </c>
      <c r="U36" s="99">
        <f t="shared" si="8"/>
        <v>0</v>
      </c>
      <c r="V36" s="99">
        <f t="shared" si="9"/>
        <v>0</v>
      </c>
      <c r="W36" s="99">
        <f t="shared" si="10"/>
        <v>0</v>
      </c>
      <c r="X36" s="99">
        <f t="shared" si="11"/>
        <v>0</v>
      </c>
      <c r="Y36" s="90"/>
      <c r="Z36" s="97">
        <f t="shared" si="12"/>
        <v>0</v>
      </c>
      <c r="AA36" s="97">
        <f t="shared" si="13"/>
        <v>0</v>
      </c>
      <c r="AB36" s="97">
        <f t="shared" si="14"/>
        <v>0</v>
      </c>
      <c r="AD36" s="99">
        <v>0</v>
      </c>
      <c r="AE36" s="99">
        <f>G36*0.963235294117647</f>
        <v>0</v>
      </c>
      <c r="AF36" s="99">
        <f>G36*(1-0.963235294117647)</f>
        <v>0</v>
      </c>
      <c r="AG36" s="98" t="s">
        <v>1100</v>
      </c>
      <c r="AM36" s="99">
        <f t="shared" si="15"/>
        <v>0</v>
      </c>
      <c r="AN36" s="99">
        <f t="shared" si="16"/>
        <v>0</v>
      </c>
      <c r="AO36" s="100" t="s">
        <v>1114</v>
      </c>
      <c r="AP36" s="100" t="s">
        <v>757</v>
      </c>
      <c r="AQ36" s="90" t="s">
        <v>758</v>
      </c>
      <c r="AS36" s="99">
        <f t="shared" si="17"/>
        <v>0</v>
      </c>
      <c r="AT36" s="99">
        <f t="shared" si="18"/>
        <v>0</v>
      </c>
      <c r="AU36" s="99">
        <v>0</v>
      </c>
      <c r="AV36" s="99">
        <f t="shared" si="19"/>
        <v>3.0000000000000001E-3</v>
      </c>
    </row>
    <row r="37" spans="1:48">
      <c r="A37" s="94" t="s">
        <v>783</v>
      </c>
      <c r="B37" s="94"/>
      <c r="C37" s="94" t="s">
        <v>1139</v>
      </c>
      <c r="D37" s="95" t="s">
        <v>1140</v>
      </c>
      <c r="E37" s="94" t="s">
        <v>792</v>
      </c>
      <c r="F37" s="97">
        <v>1</v>
      </c>
      <c r="G37" s="97"/>
      <c r="H37" s="97">
        <f t="shared" si="0"/>
        <v>0</v>
      </c>
      <c r="I37" s="97">
        <f t="shared" si="1"/>
        <v>0</v>
      </c>
      <c r="J37" s="97">
        <f t="shared" si="2"/>
        <v>0</v>
      </c>
      <c r="K37" s="97">
        <v>2.1999999999999999E-2</v>
      </c>
      <c r="L37" s="97">
        <f t="shared" si="3"/>
        <v>2.1999999999999999E-2</v>
      </c>
      <c r="M37" s="98"/>
      <c r="P37" s="99">
        <f t="shared" si="4"/>
        <v>0</v>
      </c>
      <c r="R37" s="99">
        <f t="shared" si="5"/>
        <v>0</v>
      </c>
      <c r="S37" s="99">
        <f t="shared" si="6"/>
        <v>0</v>
      </c>
      <c r="T37" s="99">
        <f t="shared" si="7"/>
        <v>0</v>
      </c>
      <c r="U37" s="99">
        <f t="shared" si="8"/>
        <v>0</v>
      </c>
      <c r="V37" s="99">
        <f t="shared" si="9"/>
        <v>0</v>
      </c>
      <c r="W37" s="99">
        <f t="shared" si="10"/>
        <v>0</v>
      </c>
      <c r="X37" s="99">
        <f t="shared" si="11"/>
        <v>0</v>
      </c>
      <c r="Y37" s="90"/>
      <c r="Z37" s="97">
        <f t="shared" si="12"/>
        <v>0</v>
      </c>
      <c r="AA37" s="97">
        <f t="shared" si="13"/>
        <v>0</v>
      </c>
      <c r="AB37" s="97">
        <f t="shared" si="14"/>
        <v>0</v>
      </c>
      <c r="AD37" s="99">
        <v>0</v>
      </c>
      <c r="AE37" s="99">
        <f>G37*0.866666666666667</f>
        <v>0</v>
      </c>
      <c r="AF37" s="99">
        <f>G37*(1-0.866666666666667)</f>
        <v>0</v>
      </c>
      <c r="AG37" s="98" t="s">
        <v>1100</v>
      </c>
      <c r="AM37" s="99">
        <f t="shared" si="15"/>
        <v>0</v>
      </c>
      <c r="AN37" s="99">
        <f t="shared" si="16"/>
        <v>0</v>
      </c>
      <c r="AO37" s="100" t="s">
        <v>1114</v>
      </c>
      <c r="AP37" s="100" t="s">
        <v>757</v>
      </c>
      <c r="AQ37" s="90" t="s">
        <v>758</v>
      </c>
      <c r="AS37" s="99">
        <f t="shared" si="17"/>
        <v>0</v>
      </c>
      <c r="AT37" s="99">
        <f t="shared" si="18"/>
        <v>0</v>
      </c>
      <c r="AU37" s="99">
        <v>0</v>
      </c>
      <c r="AV37" s="99">
        <f t="shared" si="19"/>
        <v>2.1999999999999999E-2</v>
      </c>
    </row>
    <row r="38" spans="1:48">
      <c r="A38" s="94" t="s">
        <v>786</v>
      </c>
      <c r="B38" s="94"/>
      <c r="C38" s="94" t="s">
        <v>1141</v>
      </c>
      <c r="D38" s="95" t="s">
        <v>1142</v>
      </c>
      <c r="E38" s="94" t="s">
        <v>792</v>
      </c>
      <c r="F38" s="97">
        <v>1</v>
      </c>
      <c r="G38" s="97"/>
      <c r="H38" s="97">
        <f t="shared" si="0"/>
        <v>0</v>
      </c>
      <c r="I38" s="97">
        <f t="shared" si="1"/>
        <v>0</v>
      </c>
      <c r="J38" s="97">
        <f t="shared" si="2"/>
        <v>0</v>
      </c>
      <c r="K38" s="97">
        <v>0.01</v>
      </c>
      <c r="L38" s="97">
        <f t="shared" si="3"/>
        <v>0.01</v>
      </c>
      <c r="M38" s="98"/>
      <c r="P38" s="99">
        <f t="shared" si="4"/>
        <v>0</v>
      </c>
      <c r="R38" s="99">
        <f t="shared" si="5"/>
        <v>0</v>
      </c>
      <c r="S38" s="99">
        <f t="shared" si="6"/>
        <v>0</v>
      </c>
      <c r="T38" s="99">
        <f t="shared" si="7"/>
        <v>0</v>
      </c>
      <c r="U38" s="99">
        <f t="shared" si="8"/>
        <v>0</v>
      </c>
      <c r="V38" s="99">
        <f t="shared" si="9"/>
        <v>0</v>
      </c>
      <c r="W38" s="99">
        <f t="shared" si="10"/>
        <v>0</v>
      </c>
      <c r="X38" s="99">
        <f t="shared" si="11"/>
        <v>0</v>
      </c>
      <c r="Y38" s="90"/>
      <c r="Z38" s="97">
        <f t="shared" si="12"/>
        <v>0</v>
      </c>
      <c r="AA38" s="97">
        <f t="shared" si="13"/>
        <v>0</v>
      </c>
      <c r="AB38" s="97">
        <f t="shared" si="14"/>
        <v>0</v>
      </c>
      <c r="AD38" s="99">
        <v>0</v>
      </c>
      <c r="AE38" s="99">
        <f>G38*0.954128440366973</f>
        <v>0</v>
      </c>
      <c r="AF38" s="99">
        <f>G38*(1-0.954128440366973)</f>
        <v>0</v>
      </c>
      <c r="AG38" s="98" t="s">
        <v>1100</v>
      </c>
      <c r="AM38" s="99">
        <f t="shared" si="15"/>
        <v>0</v>
      </c>
      <c r="AN38" s="99">
        <f t="shared" si="16"/>
        <v>0</v>
      </c>
      <c r="AO38" s="100" t="s">
        <v>1114</v>
      </c>
      <c r="AP38" s="100" t="s">
        <v>757</v>
      </c>
      <c r="AQ38" s="90" t="s">
        <v>758</v>
      </c>
      <c r="AS38" s="99">
        <f t="shared" si="17"/>
        <v>0</v>
      </c>
      <c r="AT38" s="99">
        <f t="shared" si="18"/>
        <v>0</v>
      </c>
      <c r="AU38" s="99">
        <v>0</v>
      </c>
      <c r="AV38" s="99">
        <f t="shared" si="19"/>
        <v>0.01</v>
      </c>
    </row>
    <row r="39" spans="1:48">
      <c r="A39" s="94" t="s">
        <v>789</v>
      </c>
      <c r="B39" s="94"/>
      <c r="C39" s="94" t="s">
        <v>1143</v>
      </c>
      <c r="D39" s="95" t="s">
        <v>1144</v>
      </c>
      <c r="E39" s="94" t="s">
        <v>52</v>
      </c>
      <c r="F39" s="97">
        <v>2</v>
      </c>
      <c r="G39" s="97"/>
      <c r="H39" s="97">
        <f t="shared" si="0"/>
        <v>0</v>
      </c>
      <c r="I39" s="97">
        <f t="shared" si="1"/>
        <v>0</v>
      </c>
      <c r="J39" s="97">
        <f t="shared" si="2"/>
        <v>0</v>
      </c>
      <c r="K39" s="97">
        <v>3.0000000000000001E-5</v>
      </c>
      <c r="L39" s="97">
        <f t="shared" si="3"/>
        <v>6.0000000000000002E-5</v>
      </c>
      <c r="M39" s="98" t="s">
        <v>882</v>
      </c>
      <c r="P39" s="99">
        <f t="shared" si="4"/>
        <v>0</v>
      </c>
      <c r="R39" s="99">
        <f t="shared" si="5"/>
        <v>0</v>
      </c>
      <c r="S39" s="99">
        <f t="shared" si="6"/>
        <v>0</v>
      </c>
      <c r="T39" s="99">
        <f t="shared" si="7"/>
        <v>0</v>
      </c>
      <c r="U39" s="99">
        <f t="shared" si="8"/>
        <v>0</v>
      </c>
      <c r="V39" s="99">
        <f t="shared" si="9"/>
        <v>0</v>
      </c>
      <c r="W39" s="99">
        <f t="shared" si="10"/>
        <v>0</v>
      </c>
      <c r="X39" s="99">
        <f t="shared" si="11"/>
        <v>0</v>
      </c>
      <c r="Y39" s="90"/>
      <c r="Z39" s="97">
        <f t="shared" si="12"/>
        <v>0</v>
      </c>
      <c r="AA39" s="97">
        <f t="shared" si="13"/>
        <v>0</v>
      </c>
      <c r="AB39" s="97">
        <f t="shared" si="14"/>
        <v>0</v>
      </c>
      <c r="AD39" s="99">
        <v>0</v>
      </c>
      <c r="AE39" s="99">
        <f>G39*0.051830985915493</f>
        <v>0</v>
      </c>
      <c r="AF39" s="99">
        <f>G39*(1-0.051830985915493)</f>
        <v>0</v>
      </c>
      <c r="AG39" s="98" t="s">
        <v>1100</v>
      </c>
      <c r="AM39" s="99">
        <f t="shared" si="15"/>
        <v>0</v>
      </c>
      <c r="AN39" s="99">
        <f t="shared" si="16"/>
        <v>0</v>
      </c>
      <c r="AO39" s="100" t="s">
        <v>1114</v>
      </c>
      <c r="AP39" s="100" t="s">
        <v>757</v>
      </c>
      <c r="AQ39" s="90" t="s">
        <v>758</v>
      </c>
      <c r="AS39" s="99">
        <f t="shared" si="17"/>
        <v>0</v>
      </c>
      <c r="AT39" s="99">
        <f t="shared" si="18"/>
        <v>0</v>
      </c>
      <c r="AU39" s="99">
        <v>0</v>
      </c>
      <c r="AV39" s="99">
        <f t="shared" si="19"/>
        <v>6.0000000000000002E-5</v>
      </c>
    </row>
    <row r="40" spans="1:48">
      <c r="A40" s="94" t="s">
        <v>793</v>
      </c>
      <c r="B40" s="94"/>
      <c r="C40" s="94" t="s">
        <v>1145</v>
      </c>
      <c r="D40" s="95" t="s">
        <v>1146</v>
      </c>
      <c r="E40" s="94" t="s">
        <v>52</v>
      </c>
      <c r="F40" s="97">
        <v>1</v>
      </c>
      <c r="G40" s="97"/>
      <c r="H40" s="97">
        <f t="shared" si="0"/>
        <v>0</v>
      </c>
      <c r="I40" s="97">
        <f t="shared" si="1"/>
        <v>0</v>
      </c>
      <c r="J40" s="97">
        <f t="shared" si="2"/>
        <v>0</v>
      </c>
      <c r="K40" s="97">
        <v>3.0000000000000001E-5</v>
      </c>
      <c r="L40" s="97">
        <f t="shared" si="3"/>
        <v>3.0000000000000001E-5</v>
      </c>
      <c r="M40" s="98" t="s">
        <v>882</v>
      </c>
      <c r="P40" s="99">
        <f t="shared" si="4"/>
        <v>0</v>
      </c>
      <c r="R40" s="99">
        <f t="shared" si="5"/>
        <v>0</v>
      </c>
      <c r="S40" s="99">
        <f t="shared" si="6"/>
        <v>0</v>
      </c>
      <c r="T40" s="99">
        <f t="shared" si="7"/>
        <v>0</v>
      </c>
      <c r="U40" s="99">
        <f t="shared" si="8"/>
        <v>0</v>
      </c>
      <c r="V40" s="99">
        <f t="shared" si="9"/>
        <v>0</v>
      </c>
      <c r="W40" s="99">
        <f t="shared" si="10"/>
        <v>0</v>
      </c>
      <c r="X40" s="99">
        <f t="shared" si="11"/>
        <v>0</v>
      </c>
      <c r="Y40" s="90"/>
      <c r="Z40" s="97">
        <f t="shared" si="12"/>
        <v>0</v>
      </c>
      <c r="AA40" s="97">
        <f t="shared" si="13"/>
        <v>0</v>
      </c>
      <c r="AB40" s="97">
        <f t="shared" si="14"/>
        <v>0</v>
      </c>
      <c r="AD40" s="99">
        <v>0</v>
      </c>
      <c r="AE40" s="99">
        <f>G40*0.0422454368040409</f>
        <v>0</v>
      </c>
      <c r="AF40" s="99">
        <f>G40*(1-0.0422454368040409)</f>
        <v>0</v>
      </c>
      <c r="AG40" s="98" t="s">
        <v>1100</v>
      </c>
      <c r="AM40" s="99">
        <f t="shared" si="15"/>
        <v>0</v>
      </c>
      <c r="AN40" s="99">
        <f t="shared" si="16"/>
        <v>0</v>
      </c>
      <c r="AO40" s="100" t="s">
        <v>1114</v>
      </c>
      <c r="AP40" s="100" t="s">
        <v>757</v>
      </c>
      <c r="AQ40" s="90" t="s">
        <v>758</v>
      </c>
      <c r="AS40" s="99">
        <f t="shared" si="17"/>
        <v>0</v>
      </c>
      <c r="AT40" s="99">
        <f t="shared" si="18"/>
        <v>0</v>
      </c>
      <c r="AU40" s="99">
        <v>0</v>
      </c>
      <c r="AV40" s="99">
        <f t="shared" si="19"/>
        <v>3.0000000000000001E-5</v>
      </c>
    </row>
    <row r="41" spans="1:48">
      <c r="A41" s="94" t="s">
        <v>796</v>
      </c>
      <c r="B41" s="94"/>
      <c r="C41" s="94" t="s">
        <v>1147</v>
      </c>
      <c r="D41" s="95" t="s">
        <v>1148</v>
      </c>
      <c r="E41" s="94" t="s">
        <v>52</v>
      </c>
      <c r="F41" s="97">
        <v>3</v>
      </c>
      <c r="G41" s="97"/>
      <c r="H41" s="97">
        <f t="shared" si="0"/>
        <v>0</v>
      </c>
      <c r="I41" s="97">
        <f t="shared" si="1"/>
        <v>0</v>
      </c>
      <c r="J41" s="97">
        <f t="shared" si="2"/>
        <v>0</v>
      </c>
      <c r="K41" s="97">
        <v>3.0000000000000001E-5</v>
      </c>
      <c r="L41" s="97">
        <f t="shared" si="3"/>
        <v>9.0000000000000006E-5</v>
      </c>
      <c r="M41" s="98" t="s">
        <v>882</v>
      </c>
      <c r="P41" s="99">
        <f t="shared" si="4"/>
        <v>0</v>
      </c>
      <c r="R41" s="99">
        <f t="shared" si="5"/>
        <v>0</v>
      </c>
      <c r="S41" s="99">
        <f t="shared" si="6"/>
        <v>0</v>
      </c>
      <c r="T41" s="99">
        <f t="shared" si="7"/>
        <v>0</v>
      </c>
      <c r="U41" s="99">
        <f t="shared" si="8"/>
        <v>0</v>
      </c>
      <c r="V41" s="99">
        <f t="shared" si="9"/>
        <v>0</v>
      </c>
      <c r="W41" s="99">
        <f t="shared" si="10"/>
        <v>0</v>
      </c>
      <c r="X41" s="99">
        <f t="shared" si="11"/>
        <v>0</v>
      </c>
      <c r="Y41" s="90"/>
      <c r="Z41" s="97">
        <f t="shared" si="12"/>
        <v>0</v>
      </c>
      <c r="AA41" s="97">
        <f t="shared" si="13"/>
        <v>0</v>
      </c>
      <c r="AB41" s="97">
        <f t="shared" si="14"/>
        <v>0</v>
      </c>
      <c r="AD41" s="99">
        <v>0</v>
      </c>
      <c r="AE41" s="99">
        <f>G41*0.0252037531675913</f>
        <v>0</v>
      </c>
      <c r="AF41" s="99">
        <f>G41*(1-0.0252037531675913)</f>
        <v>0</v>
      </c>
      <c r="AG41" s="98" t="s">
        <v>1100</v>
      </c>
      <c r="AM41" s="99">
        <f t="shared" si="15"/>
        <v>0</v>
      </c>
      <c r="AN41" s="99">
        <f t="shared" si="16"/>
        <v>0</v>
      </c>
      <c r="AO41" s="100" t="s">
        <v>1114</v>
      </c>
      <c r="AP41" s="100" t="s">
        <v>757</v>
      </c>
      <c r="AQ41" s="90" t="s">
        <v>758</v>
      </c>
      <c r="AS41" s="99">
        <f t="shared" si="17"/>
        <v>0</v>
      </c>
      <c r="AT41" s="99">
        <f t="shared" si="18"/>
        <v>0</v>
      </c>
      <c r="AU41" s="99">
        <v>0</v>
      </c>
      <c r="AV41" s="99">
        <f t="shared" si="19"/>
        <v>9.0000000000000006E-5</v>
      </c>
    </row>
    <row r="42" spans="1:48">
      <c r="A42" s="94" t="s">
        <v>799</v>
      </c>
      <c r="B42" s="94"/>
      <c r="C42" s="94" t="s">
        <v>1149</v>
      </c>
      <c r="D42" s="95" t="s">
        <v>1150</v>
      </c>
      <c r="E42" s="94" t="s">
        <v>62</v>
      </c>
      <c r="F42" s="97">
        <v>15.5</v>
      </c>
      <c r="G42" s="97"/>
      <c r="H42" s="97">
        <f t="shared" si="0"/>
        <v>0</v>
      </c>
      <c r="I42" s="97">
        <f t="shared" si="1"/>
        <v>0</v>
      </c>
      <c r="J42" s="97">
        <f t="shared" si="2"/>
        <v>0</v>
      </c>
      <c r="K42" s="97">
        <v>0</v>
      </c>
      <c r="L42" s="97">
        <f t="shared" si="3"/>
        <v>0</v>
      </c>
      <c r="M42" s="98" t="s">
        <v>882</v>
      </c>
      <c r="P42" s="99">
        <f t="shared" si="4"/>
        <v>0</v>
      </c>
      <c r="R42" s="99">
        <f t="shared" si="5"/>
        <v>0</v>
      </c>
      <c r="S42" s="99">
        <f t="shared" si="6"/>
        <v>0</v>
      </c>
      <c r="T42" s="99">
        <f t="shared" si="7"/>
        <v>0</v>
      </c>
      <c r="U42" s="99">
        <f t="shared" si="8"/>
        <v>0</v>
      </c>
      <c r="V42" s="99">
        <f t="shared" si="9"/>
        <v>0</v>
      </c>
      <c r="W42" s="99">
        <f t="shared" si="10"/>
        <v>0</v>
      </c>
      <c r="X42" s="99">
        <f t="shared" si="11"/>
        <v>0</v>
      </c>
      <c r="Y42" s="90"/>
      <c r="Z42" s="97">
        <f t="shared" si="12"/>
        <v>0</v>
      </c>
      <c r="AA42" s="97">
        <f t="shared" si="13"/>
        <v>0</v>
      </c>
      <c r="AB42" s="97">
        <f t="shared" si="14"/>
        <v>0</v>
      </c>
      <c r="AD42" s="99">
        <v>0</v>
      </c>
      <c r="AE42" s="99">
        <f>G42*0</f>
        <v>0</v>
      </c>
      <c r="AF42" s="99">
        <f>G42*(1-0)</f>
        <v>0</v>
      </c>
      <c r="AG42" s="98" t="s">
        <v>1100</v>
      </c>
      <c r="AM42" s="99">
        <f t="shared" si="15"/>
        <v>0</v>
      </c>
      <c r="AN42" s="99">
        <f t="shared" si="16"/>
        <v>0</v>
      </c>
      <c r="AO42" s="100" t="s">
        <v>1114</v>
      </c>
      <c r="AP42" s="100" t="s">
        <v>757</v>
      </c>
      <c r="AQ42" s="90" t="s">
        <v>758</v>
      </c>
      <c r="AS42" s="99">
        <f t="shared" si="17"/>
        <v>0</v>
      </c>
      <c r="AT42" s="99">
        <f t="shared" si="18"/>
        <v>0</v>
      </c>
      <c r="AU42" s="99">
        <v>0</v>
      </c>
      <c r="AV42" s="99">
        <f t="shared" si="19"/>
        <v>0</v>
      </c>
    </row>
    <row r="43" spans="1:48">
      <c r="A43" s="94" t="s">
        <v>802</v>
      </c>
      <c r="B43" s="94"/>
      <c r="C43" s="94" t="s">
        <v>1151</v>
      </c>
      <c r="D43" s="95" t="s">
        <v>1152</v>
      </c>
      <c r="E43" s="94" t="s">
        <v>52</v>
      </c>
      <c r="F43" s="97">
        <v>2</v>
      </c>
      <c r="G43" s="97"/>
      <c r="H43" s="97">
        <f t="shared" si="0"/>
        <v>0</v>
      </c>
      <c r="I43" s="97">
        <f t="shared" si="1"/>
        <v>0</v>
      </c>
      <c r="J43" s="97">
        <f t="shared" si="2"/>
        <v>0</v>
      </c>
      <c r="K43" s="97">
        <v>0</v>
      </c>
      <c r="L43" s="97">
        <f t="shared" si="3"/>
        <v>0</v>
      </c>
      <c r="M43" s="98" t="s">
        <v>882</v>
      </c>
      <c r="P43" s="99">
        <f t="shared" si="4"/>
        <v>0</v>
      </c>
      <c r="R43" s="99">
        <f t="shared" si="5"/>
        <v>0</v>
      </c>
      <c r="S43" s="99">
        <f t="shared" si="6"/>
        <v>0</v>
      </c>
      <c r="T43" s="99">
        <f t="shared" si="7"/>
        <v>0</v>
      </c>
      <c r="U43" s="99">
        <f t="shared" si="8"/>
        <v>0</v>
      </c>
      <c r="V43" s="99">
        <f t="shared" si="9"/>
        <v>0</v>
      </c>
      <c r="W43" s="99">
        <f t="shared" si="10"/>
        <v>0</v>
      </c>
      <c r="X43" s="99">
        <f t="shared" si="11"/>
        <v>0</v>
      </c>
      <c r="Y43" s="90"/>
      <c r="Z43" s="97">
        <f t="shared" si="12"/>
        <v>0</v>
      </c>
      <c r="AA43" s="97">
        <f t="shared" si="13"/>
        <v>0</v>
      </c>
      <c r="AB43" s="97">
        <f t="shared" si="14"/>
        <v>0</v>
      </c>
      <c r="AD43" s="99">
        <v>0</v>
      </c>
      <c r="AE43" s="99">
        <f>G43*0</f>
        <v>0</v>
      </c>
      <c r="AF43" s="99">
        <f>G43*(1-0)</f>
        <v>0</v>
      </c>
      <c r="AG43" s="98" t="s">
        <v>1100</v>
      </c>
      <c r="AM43" s="99">
        <f t="shared" si="15"/>
        <v>0</v>
      </c>
      <c r="AN43" s="99">
        <f t="shared" si="16"/>
        <v>0</v>
      </c>
      <c r="AO43" s="100" t="s">
        <v>1114</v>
      </c>
      <c r="AP43" s="100" t="s">
        <v>757</v>
      </c>
      <c r="AQ43" s="90" t="s">
        <v>758</v>
      </c>
      <c r="AS43" s="99">
        <f t="shared" si="17"/>
        <v>0</v>
      </c>
      <c r="AT43" s="99">
        <f t="shared" si="18"/>
        <v>0</v>
      </c>
      <c r="AU43" s="99">
        <v>0</v>
      </c>
      <c r="AV43" s="99">
        <f t="shared" si="19"/>
        <v>0</v>
      </c>
    </row>
    <row r="44" spans="1:48">
      <c r="A44" s="94" t="s">
        <v>805</v>
      </c>
      <c r="B44" s="94"/>
      <c r="C44" s="94" t="s">
        <v>1153</v>
      </c>
      <c r="D44" s="95" t="s">
        <v>1154</v>
      </c>
      <c r="E44" s="94" t="s">
        <v>52</v>
      </c>
      <c r="F44" s="97">
        <v>1</v>
      </c>
      <c r="G44" s="97"/>
      <c r="H44" s="97">
        <f t="shared" si="0"/>
        <v>0</v>
      </c>
      <c r="I44" s="97">
        <f t="shared" si="1"/>
        <v>0</v>
      </c>
      <c r="J44" s="97">
        <f t="shared" si="2"/>
        <v>0</v>
      </c>
      <c r="K44" s="97">
        <v>0</v>
      </c>
      <c r="L44" s="97">
        <f t="shared" si="3"/>
        <v>0</v>
      </c>
      <c r="M44" s="98" t="s">
        <v>882</v>
      </c>
      <c r="P44" s="99">
        <f t="shared" si="4"/>
        <v>0</v>
      </c>
      <c r="R44" s="99">
        <f t="shared" si="5"/>
        <v>0</v>
      </c>
      <c r="S44" s="99">
        <f t="shared" si="6"/>
        <v>0</v>
      </c>
      <c r="T44" s="99">
        <f t="shared" si="7"/>
        <v>0</v>
      </c>
      <c r="U44" s="99">
        <f t="shared" si="8"/>
        <v>0</v>
      </c>
      <c r="V44" s="99">
        <f t="shared" si="9"/>
        <v>0</v>
      </c>
      <c r="W44" s="99">
        <f t="shared" si="10"/>
        <v>0</v>
      </c>
      <c r="X44" s="99">
        <f t="shared" si="11"/>
        <v>0</v>
      </c>
      <c r="Y44" s="90"/>
      <c r="Z44" s="97">
        <f t="shared" si="12"/>
        <v>0</v>
      </c>
      <c r="AA44" s="97">
        <f t="shared" si="13"/>
        <v>0</v>
      </c>
      <c r="AB44" s="97">
        <f t="shared" si="14"/>
        <v>0</v>
      </c>
      <c r="AD44" s="99">
        <v>0</v>
      </c>
      <c r="AE44" s="99">
        <f>G44*0</f>
        <v>0</v>
      </c>
      <c r="AF44" s="99">
        <f>G44*(1-0)</f>
        <v>0</v>
      </c>
      <c r="AG44" s="98" t="s">
        <v>1100</v>
      </c>
      <c r="AM44" s="99">
        <f t="shared" si="15"/>
        <v>0</v>
      </c>
      <c r="AN44" s="99">
        <f t="shared" si="16"/>
        <v>0</v>
      </c>
      <c r="AO44" s="100" t="s">
        <v>1114</v>
      </c>
      <c r="AP44" s="100" t="s">
        <v>757</v>
      </c>
      <c r="AQ44" s="90" t="s">
        <v>758</v>
      </c>
      <c r="AS44" s="99">
        <f t="shared" si="17"/>
        <v>0</v>
      </c>
      <c r="AT44" s="99">
        <f t="shared" si="18"/>
        <v>0</v>
      </c>
      <c r="AU44" s="99">
        <v>0</v>
      </c>
      <c r="AV44" s="99">
        <f t="shared" si="19"/>
        <v>0</v>
      </c>
    </row>
    <row r="45" spans="1:48">
      <c r="A45" s="94" t="s">
        <v>808</v>
      </c>
      <c r="B45" s="94"/>
      <c r="C45" s="94" t="s">
        <v>1155</v>
      </c>
      <c r="D45" s="95" t="s">
        <v>1156</v>
      </c>
      <c r="E45" s="94" t="s">
        <v>62</v>
      </c>
      <c r="F45" s="97">
        <v>10</v>
      </c>
      <c r="G45" s="97"/>
      <c r="H45" s="97">
        <f t="shared" si="0"/>
        <v>0</v>
      </c>
      <c r="I45" s="97">
        <f t="shared" si="1"/>
        <v>0</v>
      </c>
      <c r="J45" s="97">
        <f t="shared" si="2"/>
        <v>0</v>
      </c>
      <c r="K45" s="97">
        <v>3.81E-3</v>
      </c>
      <c r="L45" s="97">
        <f t="shared" si="3"/>
        <v>3.8100000000000002E-2</v>
      </c>
      <c r="M45" s="98" t="s">
        <v>882</v>
      </c>
      <c r="P45" s="99">
        <f t="shared" si="4"/>
        <v>0</v>
      </c>
      <c r="R45" s="99">
        <f t="shared" si="5"/>
        <v>0</v>
      </c>
      <c r="S45" s="99">
        <f t="shared" si="6"/>
        <v>0</v>
      </c>
      <c r="T45" s="99">
        <f t="shared" si="7"/>
        <v>0</v>
      </c>
      <c r="U45" s="99">
        <f t="shared" si="8"/>
        <v>0</v>
      </c>
      <c r="V45" s="99">
        <f t="shared" si="9"/>
        <v>0</v>
      </c>
      <c r="W45" s="99">
        <f t="shared" si="10"/>
        <v>0</v>
      </c>
      <c r="X45" s="99">
        <f t="shared" si="11"/>
        <v>0</v>
      </c>
      <c r="Y45" s="90"/>
      <c r="Z45" s="97">
        <f t="shared" si="12"/>
        <v>0</v>
      </c>
      <c r="AA45" s="97">
        <f t="shared" si="13"/>
        <v>0</v>
      </c>
      <c r="AB45" s="97">
        <f t="shared" si="14"/>
        <v>0</v>
      </c>
      <c r="AD45" s="99">
        <v>0</v>
      </c>
      <c r="AE45" s="99">
        <f>G45*0.877787348071586</f>
        <v>0</v>
      </c>
      <c r="AF45" s="99">
        <f>G45*(1-0.877787348071586)</f>
        <v>0</v>
      </c>
      <c r="AG45" s="98" t="s">
        <v>1100</v>
      </c>
      <c r="AM45" s="99">
        <f t="shared" si="15"/>
        <v>0</v>
      </c>
      <c r="AN45" s="99">
        <f t="shared" si="16"/>
        <v>0</v>
      </c>
      <c r="AO45" s="100" t="s">
        <v>1114</v>
      </c>
      <c r="AP45" s="100" t="s">
        <v>757</v>
      </c>
      <c r="AQ45" s="90" t="s">
        <v>758</v>
      </c>
      <c r="AS45" s="99">
        <f t="shared" si="17"/>
        <v>0</v>
      </c>
      <c r="AT45" s="99">
        <f t="shared" si="18"/>
        <v>0</v>
      </c>
      <c r="AU45" s="99">
        <v>0</v>
      </c>
      <c r="AV45" s="99">
        <f t="shared" si="19"/>
        <v>3.8100000000000002E-2</v>
      </c>
    </row>
    <row r="46" spans="1:48">
      <c r="A46" s="94" t="s">
        <v>810</v>
      </c>
      <c r="B46" s="94"/>
      <c r="C46" s="94" t="s">
        <v>1157</v>
      </c>
      <c r="D46" s="95" t="s">
        <v>1158</v>
      </c>
      <c r="E46" s="94" t="s">
        <v>60</v>
      </c>
      <c r="F46" s="97">
        <v>3.8100000000000002E-2</v>
      </c>
      <c r="G46" s="97"/>
      <c r="H46" s="97">
        <f t="shared" si="0"/>
        <v>0</v>
      </c>
      <c r="I46" s="97">
        <f t="shared" si="1"/>
        <v>0</v>
      </c>
      <c r="J46" s="97">
        <f t="shared" si="2"/>
        <v>0</v>
      </c>
      <c r="K46" s="97">
        <v>0</v>
      </c>
      <c r="L46" s="97">
        <f t="shared" si="3"/>
        <v>0</v>
      </c>
      <c r="M46" s="98" t="s">
        <v>882</v>
      </c>
      <c r="P46" s="99">
        <f t="shared" si="4"/>
        <v>0</v>
      </c>
      <c r="R46" s="99">
        <f t="shared" si="5"/>
        <v>0</v>
      </c>
      <c r="S46" s="99">
        <f t="shared" si="6"/>
        <v>0</v>
      </c>
      <c r="T46" s="99">
        <f t="shared" si="7"/>
        <v>0</v>
      </c>
      <c r="U46" s="99">
        <f t="shared" si="8"/>
        <v>0</v>
      </c>
      <c r="V46" s="99">
        <f t="shared" si="9"/>
        <v>0</v>
      </c>
      <c r="W46" s="99">
        <f t="shared" si="10"/>
        <v>0</v>
      </c>
      <c r="X46" s="99">
        <f t="shared" si="11"/>
        <v>0</v>
      </c>
      <c r="Y46" s="90"/>
      <c r="Z46" s="97">
        <f t="shared" si="12"/>
        <v>0</v>
      </c>
      <c r="AA46" s="97">
        <f t="shared" si="13"/>
        <v>0</v>
      </c>
      <c r="AB46" s="97">
        <f t="shared" si="14"/>
        <v>0</v>
      </c>
      <c r="AD46" s="99">
        <v>0</v>
      </c>
      <c r="AE46" s="99">
        <f>G46*0</f>
        <v>0</v>
      </c>
      <c r="AF46" s="99">
        <f>G46*(1-0)</f>
        <v>0</v>
      </c>
      <c r="AG46" s="98" t="s">
        <v>1100</v>
      </c>
      <c r="AM46" s="99">
        <f t="shared" si="15"/>
        <v>0</v>
      </c>
      <c r="AN46" s="99">
        <f t="shared" si="16"/>
        <v>0</v>
      </c>
      <c r="AO46" s="100" t="s">
        <v>1114</v>
      </c>
      <c r="AP46" s="100" t="s">
        <v>757</v>
      </c>
      <c r="AQ46" s="90" t="s">
        <v>758</v>
      </c>
      <c r="AS46" s="99">
        <f t="shared" si="17"/>
        <v>0</v>
      </c>
      <c r="AT46" s="99">
        <f t="shared" si="18"/>
        <v>0</v>
      </c>
      <c r="AU46" s="99">
        <v>0</v>
      </c>
      <c r="AV46" s="99">
        <f t="shared" si="19"/>
        <v>0</v>
      </c>
    </row>
    <row r="47" spans="1:48">
      <c r="A47" s="91"/>
      <c r="B47" s="92"/>
      <c r="C47" s="92" t="s">
        <v>31</v>
      </c>
      <c r="D47" s="369" t="s">
        <v>1044</v>
      </c>
      <c r="E47" s="370"/>
      <c r="F47" s="370"/>
      <c r="G47" s="370"/>
      <c r="H47" s="93">
        <f>SUM(H48:H48)</f>
        <v>0</v>
      </c>
      <c r="I47" s="93">
        <f>SUM(I48:I48)</f>
        <v>0</v>
      </c>
      <c r="J47" s="93">
        <f>H47+I47</f>
        <v>0</v>
      </c>
      <c r="K47" s="90"/>
      <c r="L47" s="93">
        <f>SUM(L48:L48)</f>
        <v>4.0000000000000002E-4</v>
      </c>
      <c r="M47" s="90"/>
      <c r="Y47" s="90"/>
      <c r="AI47" s="93">
        <f>SUM(Z48:Z48)</f>
        <v>0</v>
      </c>
      <c r="AJ47" s="93">
        <f>SUM(AA48:AA48)</f>
        <v>0</v>
      </c>
      <c r="AK47" s="93">
        <f>SUM(AB48:AB48)</f>
        <v>0</v>
      </c>
    </row>
    <row r="48" spans="1:48">
      <c r="A48" s="94" t="s">
        <v>814</v>
      </c>
      <c r="B48" s="94"/>
      <c r="C48" s="94" t="s">
        <v>1046</v>
      </c>
      <c r="D48" s="95" t="s">
        <v>1159</v>
      </c>
      <c r="E48" s="94" t="s">
        <v>58</v>
      </c>
      <c r="F48" s="97">
        <v>5</v>
      </c>
      <c r="G48" s="97"/>
      <c r="H48" s="97">
        <f>F48*AE48</f>
        <v>0</v>
      </c>
      <c r="I48" s="97">
        <f>J48-H48</f>
        <v>0</v>
      </c>
      <c r="J48" s="97">
        <f>F48*G48</f>
        <v>0</v>
      </c>
      <c r="K48" s="97">
        <v>8.0000000000000007E-5</v>
      </c>
      <c r="L48" s="97">
        <f>F48*K48</f>
        <v>4.0000000000000002E-4</v>
      </c>
      <c r="M48" s="98" t="s">
        <v>1048</v>
      </c>
      <c r="P48" s="99">
        <f>IF(AG48="5",J48,0)</f>
        <v>0</v>
      </c>
      <c r="R48" s="99">
        <f>IF(AG48="1",H48,0)</f>
        <v>0</v>
      </c>
      <c r="S48" s="99">
        <f>IF(AG48="1",I48,0)</f>
        <v>0</v>
      </c>
      <c r="T48" s="99">
        <f>IF(AG48="7",H48,0)</f>
        <v>0</v>
      </c>
      <c r="U48" s="99">
        <f>IF(AG48="7",I48,0)</f>
        <v>0</v>
      </c>
      <c r="V48" s="99">
        <f>IF(AG48="2",H48,0)</f>
        <v>0</v>
      </c>
      <c r="W48" s="99">
        <f>IF(AG48="2",I48,0)</f>
        <v>0</v>
      </c>
      <c r="X48" s="99">
        <f>IF(AG48="0",J48,0)</f>
        <v>0</v>
      </c>
      <c r="Y48" s="90"/>
      <c r="Z48" s="97">
        <f>IF(AD48=0,J48,0)</f>
        <v>0</v>
      </c>
      <c r="AA48" s="97">
        <f>IF(AD48=15,J48,0)</f>
        <v>0</v>
      </c>
      <c r="AB48" s="97">
        <f>IF(AD48=21,J48,0)</f>
        <v>0</v>
      </c>
      <c r="AD48" s="99">
        <v>0</v>
      </c>
      <c r="AE48" s="99">
        <f>G48*0.103720800111904</f>
        <v>0</v>
      </c>
      <c r="AF48" s="99">
        <f>G48*(1-0.103720800111904)</f>
        <v>0</v>
      </c>
      <c r="AG48" s="98" t="s">
        <v>1100</v>
      </c>
      <c r="AM48" s="99">
        <f>F48*AE48</f>
        <v>0</v>
      </c>
      <c r="AN48" s="99">
        <f>F48*AF48</f>
        <v>0</v>
      </c>
      <c r="AO48" s="100" t="s">
        <v>1049</v>
      </c>
      <c r="AP48" s="100" t="s">
        <v>1050</v>
      </c>
      <c r="AQ48" s="90" t="s">
        <v>758</v>
      </c>
      <c r="AS48" s="99">
        <f>AM48+AN48</f>
        <v>0</v>
      </c>
      <c r="AT48" s="99">
        <f>G48/(100-AU48)*100</f>
        <v>0</v>
      </c>
      <c r="AU48" s="99">
        <v>0</v>
      </c>
      <c r="AV48" s="99">
        <f>L48</f>
        <v>4.0000000000000002E-4</v>
      </c>
    </row>
    <row r="49" spans="1:48">
      <c r="A49" s="91"/>
      <c r="B49" s="92"/>
      <c r="C49" s="92" t="s">
        <v>39</v>
      </c>
      <c r="D49" s="369" t="s">
        <v>40</v>
      </c>
      <c r="E49" s="370"/>
      <c r="F49" s="370"/>
      <c r="G49" s="370"/>
      <c r="H49" s="93">
        <f>SUM(H50:H51)</f>
        <v>0</v>
      </c>
      <c r="I49" s="93">
        <f>SUM(I50:I51)</f>
        <v>0</v>
      </c>
      <c r="J49" s="93">
        <f>H49+I49</f>
        <v>0</v>
      </c>
      <c r="K49" s="90"/>
      <c r="L49" s="93">
        <f>SUM(L50:L51)</f>
        <v>1.5150000000000001E-3</v>
      </c>
      <c r="M49" s="90"/>
      <c r="Y49" s="90"/>
      <c r="AI49" s="93">
        <f>SUM(Z50:Z51)</f>
        <v>0</v>
      </c>
      <c r="AJ49" s="93">
        <f>SUM(AA50:AA51)</f>
        <v>0</v>
      </c>
      <c r="AK49" s="93">
        <f>SUM(AB50:AB51)</f>
        <v>0</v>
      </c>
    </row>
    <row r="50" spans="1:48">
      <c r="A50" s="94" t="s">
        <v>817</v>
      </c>
      <c r="B50" s="94"/>
      <c r="C50" s="94" t="s">
        <v>1160</v>
      </c>
      <c r="D50" s="95" t="s">
        <v>1161</v>
      </c>
      <c r="E50" s="94" t="s">
        <v>62</v>
      </c>
      <c r="F50" s="97">
        <v>6.5</v>
      </c>
      <c r="G50" s="97"/>
      <c r="H50" s="97">
        <f>F50*AE50</f>
        <v>0</v>
      </c>
      <c r="I50" s="97">
        <f>J50-H50</f>
        <v>0</v>
      </c>
      <c r="J50" s="97">
        <f>F50*G50</f>
        <v>0</v>
      </c>
      <c r="K50" s="97">
        <v>9.0000000000000006E-5</v>
      </c>
      <c r="L50" s="97">
        <f>F50*K50</f>
        <v>5.8500000000000002E-4</v>
      </c>
      <c r="M50" s="98" t="s">
        <v>882</v>
      </c>
      <c r="P50" s="99">
        <f>IF(AG50="5",J50,0)</f>
        <v>0</v>
      </c>
      <c r="R50" s="99">
        <f>IF(AG50="1",H50,0)</f>
        <v>0</v>
      </c>
      <c r="S50" s="99">
        <f>IF(AG50="1",I50,0)</f>
        <v>0</v>
      </c>
      <c r="T50" s="99">
        <f>IF(AG50="7",H50,0)</f>
        <v>0</v>
      </c>
      <c r="U50" s="99">
        <f>IF(AG50="7",I50,0)</f>
        <v>0</v>
      </c>
      <c r="V50" s="99">
        <f>IF(AG50="2",H50,0)</f>
        <v>0</v>
      </c>
      <c r="W50" s="99">
        <f>IF(AG50="2",I50,0)</f>
        <v>0</v>
      </c>
      <c r="X50" s="99">
        <f>IF(AG50="0",J50,0)</f>
        <v>0</v>
      </c>
      <c r="Y50" s="90"/>
      <c r="Z50" s="97">
        <f>IF(AD50=0,J50,0)</f>
        <v>0</v>
      </c>
      <c r="AA50" s="97">
        <f>IF(AD50=15,J50,0)</f>
        <v>0</v>
      </c>
      <c r="AB50" s="97">
        <f>IF(AD50=21,J50,0)</f>
        <v>0</v>
      </c>
      <c r="AD50" s="99">
        <v>0</v>
      </c>
      <c r="AE50" s="99">
        <f>G50*0.233776091081594</f>
        <v>0</v>
      </c>
      <c r="AF50" s="99">
        <f>G50*(1-0.233776091081594)</f>
        <v>0</v>
      </c>
      <c r="AG50" s="98" t="s">
        <v>1100</v>
      </c>
      <c r="AM50" s="99">
        <f>F50*AE50</f>
        <v>0</v>
      </c>
      <c r="AN50" s="99">
        <f>F50*AF50</f>
        <v>0</v>
      </c>
      <c r="AO50" s="100" t="s">
        <v>1162</v>
      </c>
      <c r="AP50" s="100" t="s">
        <v>1163</v>
      </c>
      <c r="AQ50" s="90" t="s">
        <v>758</v>
      </c>
      <c r="AS50" s="99">
        <f>AM50+AN50</f>
        <v>0</v>
      </c>
      <c r="AT50" s="99">
        <f>G50/(100-AU50)*100</f>
        <v>0</v>
      </c>
      <c r="AU50" s="99">
        <v>0</v>
      </c>
      <c r="AV50" s="99">
        <f>L50</f>
        <v>5.8500000000000002E-4</v>
      </c>
    </row>
    <row r="51" spans="1:48">
      <c r="A51" s="94" t="s">
        <v>820</v>
      </c>
      <c r="B51" s="94"/>
      <c r="C51" s="94" t="s">
        <v>1164</v>
      </c>
      <c r="D51" s="95" t="s">
        <v>1165</v>
      </c>
      <c r="E51" s="94" t="s">
        <v>52</v>
      </c>
      <c r="F51" s="97">
        <v>3</v>
      </c>
      <c r="G51" s="97"/>
      <c r="H51" s="97">
        <f>F51*AE51</f>
        <v>0</v>
      </c>
      <c r="I51" s="97">
        <f>J51-H51</f>
        <v>0</v>
      </c>
      <c r="J51" s="97">
        <f>F51*G51</f>
        <v>0</v>
      </c>
      <c r="K51" s="97">
        <v>3.1E-4</v>
      </c>
      <c r="L51" s="97">
        <f>F51*K51</f>
        <v>9.3000000000000005E-4</v>
      </c>
      <c r="M51" s="98" t="s">
        <v>882</v>
      </c>
      <c r="P51" s="99">
        <f>IF(AG51="5",J51,0)</f>
        <v>0</v>
      </c>
      <c r="R51" s="99">
        <f>IF(AG51="1",H51,0)</f>
        <v>0</v>
      </c>
      <c r="S51" s="99">
        <f>IF(AG51="1",I51,0)</f>
        <v>0</v>
      </c>
      <c r="T51" s="99">
        <f>IF(AG51="7",H51,0)</f>
        <v>0</v>
      </c>
      <c r="U51" s="99">
        <f>IF(AG51="7",I51,0)</f>
        <v>0</v>
      </c>
      <c r="V51" s="99">
        <f>IF(AG51="2",H51,0)</f>
        <v>0</v>
      </c>
      <c r="W51" s="99">
        <f>IF(AG51="2",I51,0)</f>
        <v>0</v>
      </c>
      <c r="X51" s="99">
        <f>IF(AG51="0",J51,0)</f>
        <v>0</v>
      </c>
      <c r="Y51" s="90"/>
      <c r="Z51" s="97">
        <f>IF(AD51=0,J51,0)</f>
        <v>0</v>
      </c>
      <c r="AA51" s="97">
        <f>IF(AD51=15,J51,0)</f>
        <v>0</v>
      </c>
      <c r="AB51" s="97">
        <f>IF(AD51=21,J51,0)</f>
        <v>0</v>
      </c>
      <c r="AD51" s="99">
        <v>0</v>
      </c>
      <c r="AE51" s="99">
        <f>G51*0.452094318973236</f>
        <v>0</v>
      </c>
      <c r="AF51" s="99">
        <f>G51*(1-0.452094318973236)</f>
        <v>0</v>
      </c>
      <c r="AG51" s="98" t="s">
        <v>1100</v>
      </c>
      <c r="AM51" s="99">
        <f>F51*AE51</f>
        <v>0</v>
      </c>
      <c r="AN51" s="99">
        <f>F51*AF51</f>
        <v>0</v>
      </c>
      <c r="AO51" s="100" t="s">
        <v>1162</v>
      </c>
      <c r="AP51" s="100" t="s">
        <v>1163</v>
      </c>
      <c r="AQ51" s="90" t="s">
        <v>758</v>
      </c>
      <c r="AS51" s="99">
        <f>AM51+AN51</f>
        <v>0</v>
      </c>
      <c r="AT51" s="99">
        <f>G51/(100-AU51)*100</f>
        <v>0</v>
      </c>
      <c r="AU51" s="99">
        <v>0</v>
      </c>
      <c r="AV51" s="99">
        <f>L51</f>
        <v>9.3000000000000005E-4</v>
      </c>
    </row>
    <row r="52" spans="1:48">
      <c r="A52" s="91"/>
      <c r="B52" s="92"/>
      <c r="C52" s="92" t="s">
        <v>1166</v>
      </c>
      <c r="D52" s="369" t="s">
        <v>1110</v>
      </c>
      <c r="E52" s="370"/>
      <c r="F52" s="370"/>
      <c r="G52" s="370"/>
      <c r="H52" s="93">
        <f>SUM(H53:H53)</f>
        <v>0</v>
      </c>
      <c r="I52" s="93">
        <f>SUM(I53:I53)</f>
        <v>0</v>
      </c>
      <c r="J52" s="93">
        <f>H52+I52</f>
        <v>0</v>
      </c>
      <c r="K52" s="90"/>
      <c r="L52" s="93">
        <f>SUM(L53:L53)</f>
        <v>0</v>
      </c>
      <c r="M52" s="90"/>
      <c r="Y52" s="90"/>
      <c r="AI52" s="93">
        <f>SUM(Z53:Z53)</f>
        <v>0</v>
      </c>
      <c r="AJ52" s="93">
        <f>SUM(AA53:AA53)</f>
        <v>0</v>
      </c>
      <c r="AK52" s="93">
        <f>SUM(AB53:AB53)</f>
        <v>0</v>
      </c>
    </row>
    <row r="53" spans="1:48">
      <c r="A53" s="104" t="s">
        <v>824</v>
      </c>
      <c r="B53" s="104"/>
      <c r="C53" s="104" t="s">
        <v>1167</v>
      </c>
      <c r="D53" s="105" t="s">
        <v>1168</v>
      </c>
      <c r="E53" s="104" t="s">
        <v>60</v>
      </c>
      <c r="F53" s="107">
        <v>0.27010000000000001</v>
      </c>
      <c r="G53" s="107"/>
      <c r="H53" s="107">
        <f>F53*AE53</f>
        <v>0</v>
      </c>
      <c r="I53" s="107">
        <f>J53-H53</f>
        <v>0</v>
      </c>
      <c r="J53" s="107">
        <f>F53*G53</f>
        <v>0</v>
      </c>
      <c r="K53" s="107">
        <v>0</v>
      </c>
      <c r="L53" s="107">
        <f>F53*K53</f>
        <v>0</v>
      </c>
      <c r="M53" s="108" t="s">
        <v>882</v>
      </c>
      <c r="P53" s="99">
        <f>IF(AG53="5",J53,0)</f>
        <v>0</v>
      </c>
      <c r="R53" s="99">
        <f>IF(AG53="1",H53,0)</f>
        <v>0</v>
      </c>
      <c r="S53" s="99">
        <f>IF(AG53="1",I53,0)</f>
        <v>0</v>
      </c>
      <c r="T53" s="99">
        <f>IF(AG53="7",H53,0)</f>
        <v>0</v>
      </c>
      <c r="U53" s="99">
        <f>IF(AG53="7",I53,0)</f>
        <v>0</v>
      </c>
      <c r="V53" s="99">
        <f>IF(AG53="2",H53,0)</f>
        <v>0</v>
      </c>
      <c r="W53" s="99">
        <f>IF(AG53="2",I53,0)</f>
        <v>0</v>
      </c>
      <c r="X53" s="99">
        <f>IF(AG53="0",J53,0)</f>
        <v>0</v>
      </c>
      <c r="Y53" s="90"/>
      <c r="Z53" s="97">
        <f>IF(AD53=0,J53,0)</f>
        <v>0</v>
      </c>
      <c r="AA53" s="97">
        <f>IF(AD53=15,J53,0)</f>
        <v>0</v>
      </c>
      <c r="AB53" s="97">
        <f>IF(AD53=21,J53,0)</f>
        <v>0</v>
      </c>
      <c r="AD53" s="99">
        <v>0</v>
      </c>
      <c r="AE53" s="99">
        <f>G53*0</f>
        <v>0</v>
      </c>
      <c r="AF53" s="99">
        <f>G53*(1-0)</f>
        <v>0</v>
      </c>
      <c r="AG53" s="98" t="s">
        <v>1055</v>
      </c>
      <c r="AM53" s="99">
        <f>F53*AE53</f>
        <v>0</v>
      </c>
      <c r="AN53" s="99">
        <f>F53*AF53</f>
        <v>0</v>
      </c>
      <c r="AO53" s="100" t="s">
        <v>1169</v>
      </c>
      <c r="AP53" s="100" t="s">
        <v>1057</v>
      </c>
      <c r="AQ53" s="90" t="s">
        <v>758</v>
      </c>
      <c r="AS53" s="99">
        <f>AM53+AN53</f>
        <v>0</v>
      </c>
      <c r="AT53" s="99">
        <f>G53/(100-AU53)*100</f>
        <v>0</v>
      </c>
      <c r="AU53" s="99">
        <v>0</v>
      </c>
      <c r="AV53" s="99">
        <f>L53</f>
        <v>0</v>
      </c>
    </row>
    <row r="54" spans="1:48">
      <c r="A54" s="109"/>
      <c r="B54" s="109"/>
      <c r="C54" s="109"/>
      <c r="D54" s="110"/>
      <c r="E54" s="109"/>
      <c r="F54" s="109"/>
      <c r="G54" s="109"/>
      <c r="H54" s="363" t="s">
        <v>1073</v>
      </c>
      <c r="I54" s="364"/>
      <c r="J54" s="111">
        <f>J12+J14+J18+J22+J24+J47+J49+J52</f>
        <v>0</v>
      </c>
      <c r="K54" s="109"/>
      <c r="L54" s="109"/>
      <c r="M54" s="109"/>
    </row>
    <row r="55" spans="1:48" ht="11.25" customHeight="1">
      <c r="A55" s="112" t="s">
        <v>1074</v>
      </c>
    </row>
    <row r="56" spans="1:48" ht="409.6" hidden="1" customHeight="1">
      <c r="A56" s="339"/>
      <c r="B56" s="340"/>
      <c r="C56" s="340"/>
      <c r="D56" s="340"/>
      <c r="E56" s="340"/>
      <c r="F56" s="340"/>
      <c r="G56" s="340"/>
      <c r="H56" s="340"/>
      <c r="I56" s="340"/>
      <c r="J56" s="340"/>
      <c r="K56" s="340"/>
      <c r="L56" s="340"/>
      <c r="M56" s="340"/>
    </row>
  </sheetData>
  <mergeCells count="37">
    <mergeCell ref="A56:M56"/>
    <mergeCell ref="H10:J10"/>
    <mergeCell ref="K10:L10"/>
    <mergeCell ref="D12:G12"/>
    <mergeCell ref="D14:G14"/>
    <mergeCell ref="D18:G18"/>
    <mergeCell ref="D22:G22"/>
    <mergeCell ref="D24:G24"/>
    <mergeCell ref="D47:G47"/>
    <mergeCell ref="D49:G49"/>
    <mergeCell ref="D52:G52"/>
    <mergeCell ref="H54:I54"/>
    <mergeCell ref="J8:M9"/>
    <mergeCell ref="A6:C7"/>
    <mergeCell ref="D6:D7"/>
    <mergeCell ref="E6:F7"/>
    <mergeCell ref="G6:H7"/>
    <mergeCell ref="I6:I7"/>
    <mergeCell ref="J6:M7"/>
    <mergeCell ref="A8:C9"/>
    <mergeCell ref="D8:D9"/>
    <mergeCell ref="E8:F9"/>
    <mergeCell ref="G8:H9"/>
    <mergeCell ref="I8:I9"/>
    <mergeCell ref="J4:M5"/>
    <mergeCell ref="A1:M1"/>
    <mergeCell ref="A2:C3"/>
    <mergeCell ref="D2:D3"/>
    <mergeCell ref="E2:F3"/>
    <mergeCell ref="G2:H3"/>
    <mergeCell ref="I2:I3"/>
    <mergeCell ref="J2:M3"/>
    <mergeCell ref="A4:C5"/>
    <mergeCell ref="D4:D5"/>
    <mergeCell ref="E4:F5"/>
    <mergeCell ref="G4:H5"/>
    <mergeCell ref="I4:I5"/>
  </mergeCells>
  <pageMargins left="0.39400000000000002" right="0.39400000000000002" top="0.59099999999999997" bottom="0.59099999999999997" header="0.5" footer="0.5"/>
  <pageSetup paperSize="9" scale="6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5"/>
  <sheetViews>
    <sheetView showGridLines="0" zoomScale="91" zoomScaleNormal="91" workbookViewId="0">
      <selection activeCell="M26" sqref="M26"/>
    </sheetView>
  </sheetViews>
  <sheetFormatPr defaultColWidth="9" defaultRowHeight="12" customHeight="1"/>
  <cols>
    <col min="1" max="1" width="3.28515625" style="155" customWidth="1"/>
    <col min="2" max="2" width="12.140625" style="156" customWidth="1"/>
    <col min="3" max="3" width="42.7109375" style="156" customWidth="1"/>
    <col min="4" max="4" width="4.7109375" style="156" customWidth="1"/>
    <col min="5" max="5" width="9.7109375" style="157" customWidth="1"/>
    <col min="6" max="6" width="11.42578125" style="158" customWidth="1"/>
    <col min="7" max="7" width="15.28515625" style="158" customWidth="1"/>
    <col min="8" max="8" width="11.42578125" style="157" customWidth="1"/>
    <col min="9" max="245" width="9" style="159"/>
    <col min="246" max="246" width="3.28515625" style="159" customWidth="1"/>
    <col min="247" max="247" width="12.140625" style="159" customWidth="1"/>
    <col min="248" max="248" width="42.7109375" style="159" customWidth="1"/>
    <col min="249" max="249" width="4.7109375" style="159" customWidth="1"/>
    <col min="250" max="250" width="9.7109375" style="159" customWidth="1"/>
    <col min="251" max="251" width="11.42578125" style="159" customWidth="1"/>
    <col min="252" max="252" width="15.28515625" style="159" customWidth="1"/>
    <col min="253" max="253" width="11.42578125" style="159" customWidth="1"/>
    <col min="254" max="256" width="9" style="159"/>
    <col min="257" max="257" width="14.42578125" style="159" customWidth="1"/>
    <col min="258" max="258" width="9" style="159"/>
    <col min="259" max="259" width="12.28515625" style="159" bestFit="1" customWidth="1"/>
    <col min="260" max="260" width="9" style="159"/>
    <col min="261" max="261" width="15.28515625" style="159" customWidth="1"/>
    <col min="262" max="501" width="9" style="159"/>
    <col min="502" max="502" width="3.28515625" style="159" customWidth="1"/>
    <col min="503" max="503" width="12.140625" style="159" customWidth="1"/>
    <col min="504" max="504" width="42.7109375" style="159" customWidth="1"/>
    <col min="505" max="505" width="4.7109375" style="159" customWidth="1"/>
    <col min="506" max="506" width="9.7109375" style="159" customWidth="1"/>
    <col min="507" max="507" width="11.42578125" style="159" customWidth="1"/>
    <col min="508" max="508" width="15.28515625" style="159" customWidth="1"/>
    <col min="509" max="509" width="11.42578125" style="159" customWidth="1"/>
    <col min="510" max="512" width="9" style="159"/>
    <col min="513" max="513" width="14.42578125" style="159" customWidth="1"/>
    <col min="514" max="514" width="9" style="159"/>
    <col min="515" max="515" width="12.28515625" style="159" bestFit="1" customWidth="1"/>
    <col min="516" max="516" width="9" style="159"/>
    <col min="517" max="517" width="15.28515625" style="159" customWidth="1"/>
    <col min="518" max="757" width="9" style="159"/>
    <col min="758" max="758" width="3.28515625" style="159" customWidth="1"/>
    <col min="759" max="759" width="12.140625" style="159" customWidth="1"/>
    <col min="760" max="760" width="42.7109375" style="159" customWidth="1"/>
    <col min="761" max="761" width="4.7109375" style="159" customWidth="1"/>
    <col min="762" max="762" width="9.7109375" style="159" customWidth="1"/>
    <col min="763" max="763" width="11.42578125" style="159" customWidth="1"/>
    <col min="764" max="764" width="15.28515625" style="159" customWidth="1"/>
    <col min="765" max="765" width="11.42578125" style="159" customWidth="1"/>
    <col min="766" max="768" width="9" style="159"/>
    <col min="769" max="769" width="14.42578125" style="159" customWidth="1"/>
    <col min="770" max="770" width="9" style="159"/>
    <col min="771" max="771" width="12.28515625" style="159" bestFit="1" customWidth="1"/>
    <col min="772" max="772" width="9" style="159"/>
    <col min="773" max="773" width="15.28515625" style="159" customWidth="1"/>
    <col min="774" max="1013" width="9" style="159"/>
    <col min="1014" max="1014" width="3.28515625" style="159" customWidth="1"/>
    <col min="1015" max="1015" width="12.140625" style="159" customWidth="1"/>
    <col min="1016" max="1016" width="42.7109375" style="159" customWidth="1"/>
    <col min="1017" max="1017" width="4.7109375" style="159" customWidth="1"/>
    <col min="1018" max="1018" width="9.7109375" style="159" customWidth="1"/>
    <col min="1019" max="1019" width="11.42578125" style="159" customWidth="1"/>
    <col min="1020" max="1020" width="15.28515625" style="159" customWidth="1"/>
    <col min="1021" max="1021" width="11.42578125" style="159" customWidth="1"/>
    <col min="1022" max="1024" width="9" style="159"/>
    <col min="1025" max="1025" width="14.42578125" style="159" customWidth="1"/>
    <col min="1026" max="1026" width="9" style="159"/>
    <col min="1027" max="1027" width="12.28515625" style="159" bestFit="1" customWidth="1"/>
    <col min="1028" max="1028" width="9" style="159"/>
    <col min="1029" max="1029" width="15.28515625" style="159" customWidth="1"/>
    <col min="1030" max="1269" width="9" style="159"/>
    <col min="1270" max="1270" width="3.28515625" style="159" customWidth="1"/>
    <col min="1271" max="1271" width="12.140625" style="159" customWidth="1"/>
    <col min="1272" max="1272" width="42.7109375" style="159" customWidth="1"/>
    <col min="1273" max="1273" width="4.7109375" style="159" customWidth="1"/>
    <col min="1274" max="1274" width="9.7109375" style="159" customWidth="1"/>
    <col min="1275" max="1275" width="11.42578125" style="159" customWidth="1"/>
    <col min="1276" max="1276" width="15.28515625" style="159" customWidth="1"/>
    <col min="1277" max="1277" width="11.42578125" style="159" customWidth="1"/>
    <col min="1278" max="1280" width="9" style="159"/>
    <col min="1281" max="1281" width="14.42578125" style="159" customWidth="1"/>
    <col min="1282" max="1282" width="9" style="159"/>
    <col min="1283" max="1283" width="12.28515625" style="159" bestFit="1" customWidth="1"/>
    <col min="1284" max="1284" width="9" style="159"/>
    <col min="1285" max="1285" width="15.28515625" style="159" customWidth="1"/>
    <col min="1286" max="1525" width="9" style="159"/>
    <col min="1526" max="1526" width="3.28515625" style="159" customWidth="1"/>
    <col min="1527" max="1527" width="12.140625" style="159" customWidth="1"/>
    <col min="1528" max="1528" width="42.7109375" style="159" customWidth="1"/>
    <col min="1529" max="1529" width="4.7109375" style="159" customWidth="1"/>
    <col min="1530" max="1530" width="9.7109375" style="159" customWidth="1"/>
    <col min="1531" max="1531" width="11.42578125" style="159" customWidth="1"/>
    <col min="1532" max="1532" width="15.28515625" style="159" customWidth="1"/>
    <col min="1533" max="1533" width="11.42578125" style="159" customWidth="1"/>
    <col min="1534" max="1536" width="9" style="159"/>
    <col min="1537" max="1537" width="14.42578125" style="159" customWidth="1"/>
    <col min="1538" max="1538" width="9" style="159"/>
    <col min="1539" max="1539" width="12.28515625" style="159" bestFit="1" customWidth="1"/>
    <col min="1540" max="1540" width="9" style="159"/>
    <col min="1541" max="1541" width="15.28515625" style="159" customWidth="1"/>
    <col min="1542" max="1781" width="9" style="159"/>
    <col min="1782" max="1782" width="3.28515625" style="159" customWidth="1"/>
    <col min="1783" max="1783" width="12.140625" style="159" customWidth="1"/>
    <col min="1784" max="1784" width="42.7109375" style="159" customWidth="1"/>
    <col min="1785" max="1785" width="4.7109375" style="159" customWidth="1"/>
    <col min="1786" max="1786" width="9.7109375" style="159" customWidth="1"/>
    <col min="1787" max="1787" width="11.42578125" style="159" customWidth="1"/>
    <col min="1788" max="1788" width="15.28515625" style="159" customWidth="1"/>
    <col min="1789" max="1789" width="11.42578125" style="159" customWidth="1"/>
    <col min="1790" max="1792" width="9" style="159"/>
    <col min="1793" max="1793" width="14.42578125" style="159" customWidth="1"/>
    <col min="1794" max="1794" width="9" style="159"/>
    <col min="1795" max="1795" width="12.28515625" style="159" bestFit="1" customWidth="1"/>
    <col min="1796" max="1796" width="9" style="159"/>
    <col min="1797" max="1797" width="15.28515625" style="159" customWidth="1"/>
    <col min="1798" max="2037" width="9" style="159"/>
    <col min="2038" max="2038" width="3.28515625" style="159" customWidth="1"/>
    <col min="2039" max="2039" width="12.140625" style="159" customWidth="1"/>
    <col min="2040" max="2040" width="42.7109375" style="159" customWidth="1"/>
    <col min="2041" max="2041" width="4.7109375" style="159" customWidth="1"/>
    <col min="2042" max="2042" width="9.7109375" style="159" customWidth="1"/>
    <col min="2043" max="2043" width="11.42578125" style="159" customWidth="1"/>
    <col min="2044" max="2044" width="15.28515625" style="159" customWidth="1"/>
    <col min="2045" max="2045" width="11.42578125" style="159" customWidth="1"/>
    <col min="2046" max="2048" width="9" style="159"/>
    <col min="2049" max="2049" width="14.42578125" style="159" customWidth="1"/>
    <col min="2050" max="2050" width="9" style="159"/>
    <col min="2051" max="2051" width="12.28515625" style="159" bestFit="1" customWidth="1"/>
    <col min="2052" max="2052" width="9" style="159"/>
    <col min="2053" max="2053" width="15.28515625" style="159" customWidth="1"/>
    <col min="2054" max="2293" width="9" style="159"/>
    <col min="2294" max="2294" width="3.28515625" style="159" customWidth="1"/>
    <col min="2295" max="2295" width="12.140625" style="159" customWidth="1"/>
    <col min="2296" max="2296" width="42.7109375" style="159" customWidth="1"/>
    <col min="2297" max="2297" width="4.7109375" style="159" customWidth="1"/>
    <col min="2298" max="2298" width="9.7109375" style="159" customWidth="1"/>
    <col min="2299" max="2299" width="11.42578125" style="159" customWidth="1"/>
    <col min="2300" max="2300" width="15.28515625" style="159" customWidth="1"/>
    <col min="2301" max="2301" width="11.42578125" style="159" customWidth="1"/>
    <col min="2302" max="2304" width="9" style="159"/>
    <col min="2305" max="2305" width="14.42578125" style="159" customWidth="1"/>
    <col min="2306" max="2306" width="9" style="159"/>
    <col min="2307" max="2307" width="12.28515625" style="159" bestFit="1" customWidth="1"/>
    <col min="2308" max="2308" width="9" style="159"/>
    <col min="2309" max="2309" width="15.28515625" style="159" customWidth="1"/>
    <col min="2310" max="2549" width="9" style="159"/>
    <col min="2550" max="2550" width="3.28515625" style="159" customWidth="1"/>
    <col min="2551" max="2551" width="12.140625" style="159" customWidth="1"/>
    <col min="2552" max="2552" width="42.7109375" style="159" customWidth="1"/>
    <col min="2553" max="2553" width="4.7109375" style="159" customWidth="1"/>
    <col min="2554" max="2554" width="9.7109375" style="159" customWidth="1"/>
    <col min="2555" max="2555" width="11.42578125" style="159" customWidth="1"/>
    <col min="2556" max="2556" width="15.28515625" style="159" customWidth="1"/>
    <col min="2557" max="2557" width="11.42578125" style="159" customWidth="1"/>
    <col min="2558" max="2560" width="9" style="159"/>
    <col min="2561" max="2561" width="14.42578125" style="159" customWidth="1"/>
    <col min="2562" max="2562" width="9" style="159"/>
    <col min="2563" max="2563" width="12.28515625" style="159" bestFit="1" customWidth="1"/>
    <col min="2564" max="2564" width="9" style="159"/>
    <col min="2565" max="2565" width="15.28515625" style="159" customWidth="1"/>
    <col min="2566" max="2805" width="9" style="159"/>
    <col min="2806" max="2806" width="3.28515625" style="159" customWidth="1"/>
    <col min="2807" max="2807" width="12.140625" style="159" customWidth="1"/>
    <col min="2808" max="2808" width="42.7109375" style="159" customWidth="1"/>
    <col min="2809" max="2809" width="4.7109375" style="159" customWidth="1"/>
    <col min="2810" max="2810" width="9.7109375" style="159" customWidth="1"/>
    <col min="2811" max="2811" width="11.42578125" style="159" customWidth="1"/>
    <col min="2812" max="2812" width="15.28515625" style="159" customWidth="1"/>
    <col min="2813" max="2813" width="11.42578125" style="159" customWidth="1"/>
    <col min="2814" max="2816" width="9" style="159"/>
    <col min="2817" max="2817" width="14.42578125" style="159" customWidth="1"/>
    <col min="2818" max="2818" width="9" style="159"/>
    <col min="2819" max="2819" width="12.28515625" style="159" bestFit="1" customWidth="1"/>
    <col min="2820" max="2820" width="9" style="159"/>
    <col min="2821" max="2821" width="15.28515625" style="159" customWidth="1"/>
    <col min="2822" max="3061" width="9" style="159"/>
    <col min="3062" max="3062" width="3.28515625" style="159" customWidth="1"/>
    <col min="3063" max="3063" width="12.140625" style="159" customWidth="1"/>
    <col min="3064" max="3064" width="42.7109375" style="159" customWidth="1"/>
    <col min="3065" max="3065" width="4.7109375" style="159" customWidth="1"/>
    <col min="3066" max="3066" width="9.7109375" style="159" customWidth="1"/>
    <col min="3067" max="3067" width="11.42578125" style="159" customWidth="1"/>
    <col min="3068" max="3068" width="15.28515625" style="159" customWidth="1"/>
    <col min="3069" max="3069" width="11.42578125" style="159" customWidth="1"/>
    <col min="3070" max="3072" width="9" style="159"/>
    <col min="3073" max="3073" width="14.42578125" style="159" customWidth="1"/>
    <col min="3074" max="3074" width="9" style="159"/>
    <col min="3075" max="3075" width="12.28515625" style="159" bestFit="1" customWidth="1"/>
    <col min="3076" max="3076" width="9" style="159"/>
    <col min="3077" max="3077" width="15.28515625" style="159" customWidth="1"/>
    <col min="3078" max="3317" width="9" style="159"/>
    <col min="3318" max="3318" width="3.28515625" style="159" customWidth="1"/>
    <col min="3319" max="3319" width="12.140625" style="159" customWidth="1"/>
    <col min="3320" max="3320" width="42.7109375" style="159" customWidth="1"/>
    <col min="3321" max="3321" width="4.7109375" style="159" customWidth="1"/>
    <col min="3322" max="3322" width="9.7109375" style="159" customWidth="1"/>
    <col min="3323" max="3323" width="11.42578125" style="159" customWidth="1"/>
    <col min="3324" max="3324" width="15.28515625" style="159" customWidth="1"/>
    <col min="3325" max="3325" width="11.42578125" style="159" customWidth="1"/>
    <col min="3326" max="3328" width="9" style="159"/>
    <col min="3329" max="3329" width="14.42578125" style="159" customWidth="1"/>
    <col min="3330" max="3330" width="9" style="159"/>
    <col min="3331" max="3331" width="12.28515625" style="159" bestFit="1" customWidth="1"/>
    <col min="3332" max="3332" width="9" style="159"/>
    <col min="3333" max="3333" width="15.28515625" style="159" customWidth="1"/>
    <col min="3334" max="3573" width="9" style="159"/>
    <col min="3574" max="3574" width="3.28515625" style="159" customWidth="1"/>
    <col min="3575" max="3575" width="12.140625" style="159" customWidth="1"/>
    <col min="3576" max="3576" width="42.7109375" style="159" customWidth="1"/>
    <col min="3577" max="3577" width="4.7109375" style="159" customWidth="1"/>
    <col min="3578" max="3578" width="9.7109375" style="159" customWidth="1"/>
    <col min="3579" max="3579" width="11.42578125" style="159" customWidth="1"/>
    <col min="3580" max="3580" width="15.28515625" style="159" customWidth="1"/>
    <col min="3581" max="3581" width="11.42578125" style="159" customWidth="1"/>
    <col min="3582" max="3584" width="9" style="159"/>
    <col min="3585" max="3585" width="14.42578125" style="159" customWidth="1"/>
    <col min="3586" max="3586" width="9" style="159"/>
    <col min="3587" max="3587" width="12.28515625" style="159" bestFit="1" customWidth="1"/>
    <col min="3588" max="3588" width="9" style="159"/>
    <col min="3589" max="3589" width="15.28515625" style="159" customWidth="1"/>
    <col min="3590" max="3829" width="9" style="159"/>
    <col min="3830" max="3830" width="3.28515625" style="159" customWidth="1"/>
    <col min="3831" max="3831" width="12.140625" style="159" customWidth="1"/>
    <col min="3832" max="3832" width="42.7109375" style="159" customWidth="1"/>
    <col min="3833" max="3833" width="4.7109375" style="159" customWidth="1"/>
    <col min="3834" max="3834" width="9.7109375" style="159" customWidth="1"/>
    <col min="3835" max="3835" width="11.42578125" style="159" customWidth="1"/>
    <col min="3836" max="3836" width="15.28515625" style="159" customWidth="1"/>
    <col min="3837" max="3837" width="11.42578125" style="159" customWidth="1"/>
    <col min="3838" max="3840" width="9" style="159"/>
    <col min="3841" max="3841" width="14.42578125" style="159" customWidth="1"/>
    <col min="3842" max="3842" width="9" style="159"/>
    <col min="3843" max="3843" width="12.28515625" style="159" bestFit="1" customWidth="1"/>
    <col min="3844" max="3844" width="9" style="159"/>
    <col min="3845" max="3845" width="15.28515625" style="159" customWidth="1"/>
    <col min="3846" max="4085" width="9" style="159"/>
    <col min="4086" max="4086" width="3.28515625" style="159" customWidth="1"/>
    <col min="4087" max="4087" width="12.140625" style="159" customWidth="1"/>
    <col min="4088" max="4088" width="42.7109375" style="159" customWidth="1"/>
    <col min="4089" max="4089" width="4.7109375" style="159" customWidth="1"/>
    <col min="4090" max="4090" width="9.7109375" style="159" customWidth="1"/>
    <col min="4091" max="4091" width="11.42578125" style="159" customWidth="1"/>
    <col min="4092" max="4092" width="15.28515625" style="159" customWidth="1"/>
    <col min="4093" max="4093" width="11.42578125" style="159" customWidth="1"/>
    <col min="4094" max="4096" width="9" style="159"/>
    <col min="4097" max="4097" width="14.42578125" style="159" customWidth="1"/>
    <col min="4098" max="4098" width="9" style="159"/>
    <col min="4099" max="4099" width="12.28515625" style="159" bestFit="1" customWidth="1"/>
    <col min="4100" max="4100" width="9" style="159"/>
    <col min="4101" max="4101" width="15.28515625" style="159" customWidth="1"/>
    <col min="4102" max="4341" width="9" style="159"/>
    <col min="4342" max="4342" width="3.28515625" style="159" customWidth="1"/>
    <col min="4343" max="4343" width="12.140625" style="159" customWidth="1"/>
    <col min="4344" max="4344" width="42.7109375" style="159" customWidth="1"/>
    <col min="4345" max="4345" width="4.7109375" style="159" customWidth="1"/>
    <col min="4346" max="4346" width="9.7109375" style="159" customWidth="1"/>
    <col min="4347" max="4347" width="11.42578125" style="159" customWidth="1"/>
    <col min="4348" max="4348" width="15.28515625" style="159" customWidth="1"/>
    <col min="4349" max="4349" width="11.42578125" style="159" customWidth="1"/>
    <col min="4350" max="4352" width="9" style="159"/>
    <col min="4353" max="4353" width="14.42578125" style="159" customWidth="1"/>
    <col min="4354" max="4354" width="9" style="159"/>
    <col min="4355" max="4355" width="12.28515625" style="159" bestFit="1" customWidth="1"/>
    <col min="4356" max="4356" width="9" style="159"/>
    <col min="4357" max="4357" width="15.28515625" style="159" customWidth="1"/>
    <col min="4358" max="4597" width="9" style="159"/>
    <col min="4598" max="4598" width="3.28515625" style="159" customWidth="1"/>
    <col min="4599" max="4599" width="12.140625" style="159" customWidth="1"/>
    <col min="4600" max="4600" width="42.7109375" style="159" customWidth="1"/>
    <col min="4601" max="4601" width="4.7109375" style="159" customWidth="1"/>
    <col min="4602" max="4602" width="9.7109375" style="159" customWidth="1"/>
    <col min="4603" max="4603" width="11.42578125" style="159" customWidth="1"/>
    <col min="4604" max="4604" width="15.28515625" style="159" customWidth="1"/>
    <col min="4605" max="4605" width="11.42578125" style="159" customWidth="1"/>
    <col min="4606" max="4608" width="9" style="159"/>
    <col min="4609" max="4609" width="14.42578125" style="159" customWidth="1"/>
    <col min="4610" max="4610" width="9" style="159"/>
    <col min="4611" max="4611" width="12.28515625" style="159" bestFit="1" customWidth="1"/>
    <col min="4612" max="4612" width="9" style="159"/>
    <col min="4613" max="4613" width="15.28515625" style="159" customWidth="1"/>
    <col min="4614" max="4853" width="9" style="159"/>
    <col min="4854" max="4854" width="3.28515625" style="159" customWidth="1"/>
    <col min="4855" max="4855" width="12.140625" style="159" customWidth="1"/>
    <col min="4856" max="4856" width="42.7109375" style="159" customWidth="1"/>
    <col min="4857" max="4857" width="4.7109375" style="159" customWidth="1"/>
    <col min="4858" max="4858" width="9.7109375" style="159" customWidth="1"/>
    <col min="4859" max="4859" width="11.42578125" style="159" customWidth="1"/>
    <col min="4860" max="4860" width="15.28515625" style="159" customWidth="1"/>
    <col min="4861" max="4861" width="11.42578125" style="159" customWidth="1"/>
    <col min="4862" max="4864" width="9" style="159"/>
    <col min="4865" max="4865" width="14.42578125" style="159" customWidth="1"/>
    <col min="4866" max="4866" width="9" style="159"/>
    <col min="4867" max="4867" width="12.28515625" style="159" bestFit="1" customWidth="1"/>
    <col min="4868" max="4868" width="9" style="159"/>
    <col min="4869" max="4869" width="15.28515625" style="159" customWidth="1"/>
    <col min="4870" max="5109" width="9" style="159"/>
    <col min="5110" max="5110" width="3.28515625" style="159" customWidth="1"/>
    <col min="5111" max="5111" width="12.140625" style="159" customWidth="1"/>
    <col min="5112" max="5112" width="42.7109375" style="159" customWidth="1"/>
    <col min="5113" max="5113" width="4.7109375" style="159" customWidth="1"/>
    <col min="5114" max="5114" width="9.7109375" style="159" customWidth="1"/>
    <col min="5115" max="5115" width="11.42578125" style="159" customWidth="1"/>
    <col min="5116" max="5116" width="15.28515625" style="159" customWidth="1"/>
    <col min="5117" max="5117" width="11.42578125" style="159" customWidth="1"/>
    <col min="5118" max="5120" width="9" style="159"/>
    <col min="5121" max="5121" width="14.42578125" style="159" customWidth="1"/>
    <col min="5122" max="5122" width="9" style="159"/>
    <col min="5123" max="5123" width="12.28515625" style="159" bestFit="1" customWidth="1"/>
    <col min="5124" max="5124" width="9" style="159"/>
    <col min="5125" max="5125" width="15.28515625" style="159" customWidth="1"/>
    <col min="5126" max="5365" width="9" style="159"/>
    <col min="5366" max="5366" width="3.28515625" style="159" customWidth="1"/>
    <col min="5367" max="5367" width="12.140625" style="159" customWidth="1"/>
    <col min="5368" max="5368" width="42.7109375" style="159" customWidth="1"/>
    <col min="5369" max="5369" width="4.7109375" style="159" customWidth="1"/>
    <col min="5370" max="5370" width="9.7109375" style="159" customWidth="1"/>
    <col min="5371" max="5371" width="11.42578125" style="159" customWidth="1"/>
    <col min="5372" max="5372" width="15.28515625" style="159" customWidth="1"/>
    <col min="5373" max="5373" width="11.42578125" style="159" customWidth="1"/>
    <col min="5374" max="5376" width="9" style="159"/>
    <col min="5377" max="5377" width="14.42578125" style="159" customWidth="1"/>
    <col min="5378" max="5378" width="9" style="159"/>
    <col min="5379" max="5379" width="12.28515625" style="159" bestFit="1" customWidth="1"/>
    <col min="5380" max="5380" width="9" style="159"/>
    <col min="5381" max="5381" width="15.28515625" style="159" customWidth="1"/>
    <col min="5382" max="5621" width="9" style="159"/>
    <col min="5622" max="5622" width="3.28515625" style="159" customWidth="1"/>
    <col min="5623" max="5623" width="12.140625" style="159" customWidth="1"/>
    <col min="5624" max="5624" width="42.7109375" style="159" customWidth="1"/>
    <col min="5625" max="5625" width="4.7109375" style="159" customWidth="1"/>
    <col min="5626" max="5626" width="9.7109375" style="159" customWidth="1"/>
    <col min="5627" max="5627" width="11.42578125" style="159" customWidth="1"/>
    <col min="5628" max="5628" width="15.28515625" style="159" customWidth="1"/>
    <col min="5629" max="5629" width="11.42578125" style="159" customWidth="1"/>
    <col min="5630" max="5632" width="9" style="159"/>
    <col min="5633" max="5633" width="14.42578125" style="159" customWidth="1"/>
    <col min="5634" max="5634" width="9" style="159"/>
    <col min="5635" max="5635" width="12.28515625" style="159" bestFit="1" customWidth="1"/>
    <col min="5636" max="5636" width="9" style="159"/>
    <col min="5637" max="5637" width="15.28515625" style="159" customWidth="1"/>
    <col min="5638" max="5877" width="9" style="159"/>
    <col min="5878" max="5878" width="3.28515625" style="159" customWidth="1"/>
    <col min="5879" max="5879" width="12.140625" style="159" customWidth="1"/>
    <col min="5880" max="5880" width="42.7109375" style="159" customWidth="1"/>
    <col min="5881" max="5881" width="4.7109375" style="159" customWidth="1"/>
    <col min="5882" max="5882" width="9.7109375" style="159" customWidth="1"/>
    <col min="5883" max="5883" width="11.42578125" style="159" customWidth="1"/>
    <col min="5884" max="5884" width="15.28515625" style="159" customWidth="1"/>
    <col min="5885" max="5885" width="11.42578125" style="159" customWidth="1"/>
    <col min="5886" max="5888" width="9" style="159"/>
    <col min="5889" max="5889" width="14.42578125" style="159" customWidth="1"/>
    <col min="5890" max="5890" width="9" style="159"/>
    <col min="5891" max="5891" width="12.28515625" style="159" bestFit="1" customWidth="1"/>
    <col min="5892" max="5892" width="9" style="159"/>
    <col min="5893" max="5893" width="15.28515625" style="159" customWidth="1"/>
    <col min="5894" max="6133" width="9" style="159"/>
    <col min="6134" max="6134" width="3.28515625" style="159" customWidth="1"/>
    <col min="6135" max="6135" width="12.140625" style="159" customWidth="1"/>
    <col min="6136" max="6136" width="42.7109375" style="159" customWidth="1"/>
    <col min="6137" max="6137" width="4.7109375" style="159" customWidth="1"/>
    <col min="6138" max="6138" width="9.7109375" style="159" customWidth="1"/>
    <col min="6139" max="6139" width="11.42578125" style="159" customWidth="1"/>
    <col min="6140" max="6140" width="15.28515625" style="159" customWidth="1"/>
    <col min="6141" max="6141" width="11.42578125" style="159" customWidth="1"/>
    <col min="6142" max="6144" width="9" style="159"/>
    <col min="6145" max="6145" width="14.42578125" style="159" customWidth="1"/>
    <col min="6146" max="6146" width="9" style="159"/>
    <col min="6147" max="6147" width="12.28515625" style="159" bestFit="1" customWidth="1"/>
    <col min="6148" max="6148" width="9" style="159"/>
    <col min="6149" max="6149" width="15.28515625" style="159" customWidth="1"/>
    <col min="6150" max="6389" width="9" style="159"/>
    <col min="6390" max="6390" width="3.28515625" style="159" customWidth="1"/>
    <col min="6391" max="6391" width="12.140625" style="159" customWidth="1"/>
    <col min="6392" max="6392" width="42.7109375" style="159" customWidth="1"/>
    <col min="6393" max="6393" width="4.7109375" style="159" customWidth="1"/>
    <col min="6394" max="6394" width="9.7109375" style="159" customWidth="1"/>
    <col min="6395" max="6395" width="11.42578125" style="159" customWidth="1"/>
    <col min="6396" max="6396" width="15.28515625" style="159" customWidth="1"/>
    <col min="6397" max="6397" width="11.42578125" style="159" customWidth="1"/>
    <col min="6398" max="6400" width="9" style="159"/>
    <col min="6401" max="6401" width="14.42578125" style="159" customWidth="1"/>
    <col min="6402" max="6402" width="9" style="159"/>
    <col min="6403" max="6403" width="12.28515625" style="159" bestFit="1" customWidth="1"/>
    <col min="6404" max="6404" width="9" style="159"/>
    <col min="6405" max="6405" width="15.28515625" style="159" customWidth="1"/>
    <col min="6406" max="6645" width="9" style="159"/>
    <col min="6646" max="6646" width="3.28515625" style="159" customWidth="1"/>
    <col min="6647" max="6647" width="12.140625" style="159" customWidth="1"/>
    <col min="6648" max="6648" width="42.7109375" style="159" customWidth="1"/>
    <col min="6649" max="6649" width="4.7109375" style="159" customWidth="1"/>
    <col min="6650" max="6650" width="9.7109375" style="159" customWidth="1"/>
    <col min="6651" max="6651" width="11.42578125" style="159" customWidth="1"/>
    <col min="6652" max="6652" width="15.28515625" style="159" customWidth="1"/>
    <col min="6653" max="6653" width="11.42578125" style="159" customWidth="1"/>
    <col min="6654" max="6656" width="9" style="159"/>
    <col min="6657" max="6657" width="14.42578125" style="159" customWidth="1"/>
    <col min="6658" max="6658" width="9" style="159"/>
    <col min="6659" max="6659" width="12.28515625" style="159" bestFit="1" customWidth="1"/>
    <col min="6660" max="6660" width="9" style="159"/>
    <col min="6661" max="6661" width="15.28515625" style="159" customWidth="1"/>
    <col min="6662" max="6901" width="9" style="159"/>
    <col min="6902" max="6902" width="3.28515625" style="159" customWidth="1"/>
    <col min="6903" max="6903" width="12.140625" style="159" customWidth="1"/>
    <col min="6904" max="6904" width="42.7109375" style="159" customWidth="1"/>
    <col min="6905" max="6905" width="4.7109375" style="159" customWidth="1"/>
    <col min="6906" max="6906" width="9.7109375" style="159" customWidth="1"/>
    <col min="6907" max="6907" width="11.42578125" style="159" customWidth="1"/>
    <col min="6908" max="6908" width="15.28515625" style="159" customWidth="1"/>
    <col min="6909" max="6909" width="11.42578125" style="159" customWidth="1"/>
    <col min="6910" max="6912" width="9" style="159"/>
    <col min="6913" max="6913" width="14.42578125" style="159" customWidth="1"/>
    <col min="6914" max="6914" width="9" style="159"/>
    <col min="6915" max="6915" width="12.28515625" style="159" bestFit="1" customWidth="1"/>
    <col min="6916" max="6916" width="9" style="159"/>
    <col min="6917" max="6917" width="15.28515625" style="159" customWidth="1"/>
    <col min="6918" max="7157" width="9" style="159"/>
    <col min="7158" max="7158" width="3.28515625" style="159" customWidth="1"/>
    <col min="7159" max="7159" width="12.140625" style="159" customWidth="1"/>
    <col min="7160" max="7160" width="42.7109375" style="159" customWidth="1"/>
    <col min="7161" max="7161" width="4.7109375" style="159" customWidth="1"/>
    <col min="7162" max="7162" width="9.7109375" style="159" customWidth="1"/>
    <col min="7163" max="7163" width="11.42578125" style="159" customWidth="1"/>
    <col min="7164" max="7164" width="15.28515625" style="159" customWidth="1"/>
    <col min="7165" max="7165" width="11.42578125" style="159" customWidth="1"/>
    <col min="7166" max="7168" width="9" style="159"/>
    <col min="7169" max="7169" width="14.42578125" style="159" customWidth="1"/>
    <col min="7170" max="7170" width="9" style="159"/>
    <col min="7171" max="7171" width="12.28515625" style="159" bestFit="1" customWidth="1"/>
    <col min="7172" max="7172" width="9" style="159"/>
    <col min="7173" max="7173" width="15.28515625" style="159" customWidth="1"/>
    <col min="7174" max="7413" width="9" style="159"/>
    <col min="7414" max="7414" width="3.28515625" style="159" customWidth="1"/>
    <col min="7415" max="7415" width="12.140625" style="159" customWidth="1"/>
    <col min="7416" max="7416" width="42.7109375" style="159" customWidth="1"/>
    <col min="7417" max="7417" width="4.7109375" style="159" customWidth="1"/>
    <col min="7418" max="7418" width="9.7109375" style="159" customWidth="1"/>
    <col min="7419" max="7419" width="11.42578125" style="159" customWidth="1"/>
    <col min="7420" max="7420" width="15.28515625" style="159" customWidth="1"/>
    <col min="7421" max="7421" width="11.42578125" style="159" customWidth="1"/>
    <col min="7422" max="7424" width="9" style="159"/>
    <col min="7425" max="7425" width="14.42578125" style="159" customWidth="1"/>
    <col min="7426" max="7426" width="9" style="159"/>
    <col min="7427" max="7427" width="12.28515625" style="159" bestFit="1" customWidth="1"/>
    <col min="7428" max="7428" width="9" style="159"/>
    <col min="7429" max="7429" width="15.28515625" style="159" customWidth="1"/>
    <col min="7430" max="7669" width="9" style="159"/>
    <col min="7670" max="7670" width="3.28515625" style="159" customWidth="1"/>
    <col min="7671" max="7671" width="12.140625" style="159" customWidth="1"/>
    <col min="7672" max="7672" width="42.7109375" style="159" customWidth="1"/>
    <col min="7673" max="7673" width="4.7109375" style="159" customWidth="1"/>
    <col min="7674" max="7674" width="9.7109375" style="159" customWidth="1"/>
    <col min="7675" max="7675" width="11.42578125" style="159" customWidth="1"/>
    <col min="7676" max="7676" width="15.28515625" style="159" customWidth="1"/>
    <col min="7677" max="7677" width="11.42578125" style="159" customWidth="1"/>
    <col min="7678" max="7680" width="9" style="159"/>
    <col min="7681" max="7681" width="14.42578125" style="159" customWidth="1"/>
    <col min="7682" max="7682" width="9" style="159"/>
    <col min="7683" max="7683" width="12.28515625" style="159" bestFit="1" customWidth="1"/>
    <col min="7684" max="7684" width="9" style="159"/>
    <col min="7685" max="7685" width="15.28515625" style="159" customWidth="1"/>
    <col min="7686" max="7925" width="9" style="159"/>
    <col min="7926" max="7926" width="3.28515625" style="159" customWidth="1"/>
    <col min="7927" max="7927" width="12.140625" style="159" customWidth="1"/>
    <col min="7928" max="7928" width="42.7109375" style="159" customWidth="1"/>
    <col min="7929" max="7929" width="4.7109375" style="159" customWidth="1"/>
    <col min="7930" max="7930" width="9.7109375" style="159" customWidth="1"/>
    <col min="7931" max="7931" width="11.42578125" style="159" customWidth="1"/>
    <col min="7932" max="7932" width="15.28515625" style="159" customWidth="1"/>
    <col min="7933" max="7933" width="11.42578125" style="159" customWidth="1"/>
    <col min="7934" max="7936" width="9" style="159"/>
    <col min="7937" max="7937" width="14.42578125" style="159" customWidth="1"/>
    <col min="7938" max="7938" width="9" style="159"/>
    <col min="7939" max="7939" width="12.28515625" style="159" bestFit="1" customWidth="1"/>
    <col min="7940" max="7940" width="9" style="159"/>
    <col min="7941" max="7941" width="15.28515625" style="159" customWidth="1"/>
    <col min="7942" max="8181" width="9" style="159"/>
    <col min="8182" max="8182" width="3.28515625" style="159" customWidth="1"/>
    <col min="8183" max="8183" width="12.140625" style="159" customWidth="1"/>
    <col min="8184" max="8184" width="42.7109375" style="159" customWidth="1"/>
    <col min="8185" max="8185" width="4.7109375" style="159" customWidth="1"/>
    <col min="8186" max="8186" width="9.7109375" style="159" customWidth="1"/>
    <col min="8187" max="8187" width="11.42578125" style="159" customWidth="1"/>
    <col min="8188" max="8188" width="15.28515625" style="159" customWidth="1"/>
    <col min="8189" max="8189" width="11.42578125" style="159" customWidth="1"/>
    <col min="8190" max="8192" width="9" style="159"/>
    <col min="8193" max="8193" width="14.42578125" style="159" customWidth="1"/>
    <col min="8194" max="8194" width="9" style="159"/>
    <col min="8195" max="8195" width="12.28515625" style="159" bestFit="1" customWidth="1"/>
    <col min="8196" max="8196" width="9" style="159"/>
    <col min="8197" max="8197" width="15.28515625" style="159" customWidth="1"/>
    <col min="8198" max="8437" width="9" style="159"/>
    <col min="8438" max="8438" width="3.28515625" style="159" customWidth="1"/>
    <col min="8439" max="8439" width="12.140625" style="159" customWidth="1"/>
    <col min="8440" max="8440" width="42.7109375" style="159" customWidth="1"/>
    <col min="8441" max="8441" width="4.7109375" style="159" customWidth="1"/>
    <col min="8442" max="8442" width="9.7109375" style="159" customWidth="1"/>
    <col min="8443" max="8443" width="11.42578125" style="159" customWidth="1"/>
    <col min="8444" max="8444" width="15.28515625" style="159" customWidth="1"/>
    <col min="8445" max="8445" width="11.42578125" style="159" customWidth="1"/>
    <col min="8446" max="8448" width="9" style="159"/>
    <col min="8449" max="8449" width="14.42578125" style="159" customWidth="1"/>
    <col min="8450" max="8450" width="9" style="159"/>
    <col min="8451" max="8451" width="12.28515625" style="159" bestFit="1" customWidth="1"/>
    <col min="8452" max="8452" width="9" style="159"/>
    <col min="8453" max="8453" width="15.28515625" style="159" customWidth="1"/>
    <col min="8454" max="8693" width="9" style="159"/>
    <col min="8694" max="8694" width="3.28515625" style="159" customWidth="1"/>
    <col min="8695" max="8695" width="12.140625" style="159" customWidth="1"/>
    <col min="8696" max="8696" width="42.7109375" style="159" customWidth="1"/>
    <col min="8697" max="8697" width="4.7109375" style="159" customWidth="1"/>
    <col min="8698" max="8698" width="9.7109375" style="159" customWidth="1"/>
    <col min="8699" max="8699" width="11.42578125" style="159" customWidth="1"/>
    <col min="8700" max="8700" width="15.28515625" style="159" customWidth="1"/>
    <col min="8701" max="8701" width="11.42578125" style="159" customWidth="1"/>
    <col min="8702" max="8704" width="9" style="159"/>
    <col min="8705" max="8705" width="14.42578125" style="159" customWidth="1"/>
    <col min="8706" max="8706" width="9" style="159"/>
    <col min="8707" max="8707" width="12.28515625" style="159" bestFit="1" customWidth="1"/>
    <col min="8708" max="8708" width="9" style="159"/>
    <col min="8709" max="8709" width="15.28515625" style="159" customWidth="1"/>
    <col min="8710" max="8949" width="9" style="159"/>
    <col min="8950" max="8950" width="3.28515625" style="159" customWidth="1"/>
    <col min="8951" max="8951" width="12.140625" style="159" customWidth="1"/>
    <col min="8952" max="8952" width="42.7109375" style="159" customWidth="1"/>
    <col min="8953" max="8953" width="4.7109375" style="159" customWidth="1"/>
    <col min="8954" max="8954" width="9.7109375" style="159" customWidth="1"/>
    <col min="8955" max="8955" width="11.42578125" style="159" customWidth="1"/>
    <col min="8956" max="8956" width="15.28515625" style="159" customWidth="1"/>
    <col min="8957" max="8957" width="11.42578125" style="159" customWidth="1"/>
    <col min="8958" max="8960" width="9" style="159"/>
    <col min="8961" max="8961" width="14.42578125" style="159" customWidth="1"/>
    <col min="8962" max="8962" width="9" style="159"/>
    <col min="8963" max="8963" width="12.28515625" style="159" bestFit="1" customWidth="1"/>
    <col min="8964" max="8964" width="9" style="159"/>
    <col min="8965" max="8965" width="15.28515625" style="159" customWidth="1"/>
    <col min="8966" max="9205" width="9" style="159"/>
    <col min="9206" max="9206" width="3.28515625" style="159" customWidth="1"/>
    <col min="9207" max="9207" width="12.140625" style="159" customWidth="1"/>
    <col min="9208" max="9208" width="42.7109375" style="159" customWidth="1"/>
    <col min="9209" max="9209" width="4.7109375" style="159" customWidth="1"/>
    <col min="9210" max="9210" width="9.7109375" style="159" customWidth="1"/>
    <col min="9211" max="9211" width="11.42578125" style="159" customWidth="1"/>
    <col min="9212" max="9212" width="15.28515625" style="159" customWidth="1"/>
    <col min="9213" max="9213" width="11.42578125" style="159" customWidth="1"/>
    <col min="9214" max="9216" width="9" style="159"/>
    <col min="9217" max="9217" width="14.42578125" style="159" customWidth="1"/>
    <col min="9218" max="9218" width="9" style="159"/>
    <col min="9219" max="9219" width="12.28515625" style="159" bestFit="1" customWidth="1"/>
    <col min="9220" max="9220" width="9" style="159"/>
    <col min="9221" max="9221" width="15.28515625" style="159" customWidth="1"/>
    <col min="9222" max="9461" width="9" style="159"/>
    <col min="9462" max="9462" width="3.28515625" style="159" customWidth="1"/>
    <col min="9463" max="9463" width="12.140625" style="159" customWidth="1"/>
    <col min="9464" max="9464" width="42.7109375" style="159" customWidth="1"/>
    <col min="9465" max="9465" width="4.7109375" style="159" customWidth="1"/>
    <col min="9466" max="9466" width="9.7109375" style="159" customWidth="1"/>
    <col min="9467" max="9467" width="11.42578125" style="159" customWidth="1"/>
    <col min="9468" max="9468" width="15.28515625" style="159" customWidth="1"/>
    <col min="9469" max="9469" width="11.42578125" style="159" customWidth="1"/>
    <col min="9470" max="9472" width="9" style="159"/>
    <col min="9473" max="9473" width="14.42578125" style="159" customWidth="1"/>
    <col min="9474" max="9474" width="9" style="159"/>
    <col min="9475" max="9475" width="12.28515625" style="159" bestFit="1" customWidth="1"/>
    <col min="9476" max="9476" width="9" style="159"/>
    <col min="9477" max="9477" width="15.28515625" style="159" customWidth="1"/>
    <col min="9478" max="9717" width="9" style="159"/>
    <col min="9718" max="9718" width="3.28515625" style="159" customWidth="1"/>
    <col min="9719" max="9719" width="12.140625" style="159" customWidth="1"/>
    <col min="9720" max="9720" width="42.7109375" style="159" customWidth="1"/>
    <col min="9721" max="9721" width="4.7109375" style="159" customWidth="1"/>
    <col min="9722" max="9722" width="9.7109375" style="159" customWidth="1"/>
    <col min="9723" max="9723" width="11.42578125" style="159" customWidth="1"/>
    <col min="9724" max="9724" width="15.28515625" style="159" customWidth="1"/>
    <col min="9725" max="9725" width="11.42578125" style="159" customWidth="1"/>
    <col min="9726" max="9728" width="9" style="159"/>
    <col min="9729" max="9729" width="14.42578125" style="159" customWidth="1"/>
    <col min="9730" max="9730" width="9" style="159"/>
    <col min="9731" max="9731" width="12.28515625" style="159" bestFit="1" customWidth="1"/>
    <col min="9732" max="9732" width="9" style="159"/>
    <col min="9733" max="9733" width="15.28515625" style="159" customWidth="1"/>
    <col min="9734" max="9973" width="9" style="159"/>
    <col min="9974" max="9974" width="3.28515625" style="159" customWidth="1"/>
    <col min="9975" max="9975" width="12.140625" style="159" customWidth="1"/>
    <col min="9976" max="9976" width="42.7109375" style="159" customWidth="1"/>
    <col min="9977" max="9977" width="4.7109375" style="159" customWidth="1"/>
    <col min="9978" max="9978" width="9.7109375" style="159" customWidth="1"/>
    <col min="9979" max="9979" width="11.42578125" style="159" customWidth="1"/>
    <col min="9980" max="9980" width="15.28515625" style="159" customWidth="1"/>
    <col min="9981" max="9981" width="11.42578125" style="159" customWidth="1"/>
    <col min="9982" max="9984" width="9" style="159"/>
    <col min="9985" max="9985" width="14.42578125" style="159" customWidth="1"/>
    <col min="9986" max="9986" width="9" style="159"/>
    <col min="9987" max="9987" width="12.28515625" style="159" bestFit="1" customWidth="1"/>
    <col min="9988" max="9988" width="9" style="159"/>
    <col min="9989" max="9989" width="15.28515625" style="159" customWidth="1"/>
    <col min="9990" max="10229" width="9" style="159"/>
    <col min="10230" max="10230" width="3.28515625" style="159" customWidth="1"/>
    <col min="10231" max="10231" width="12.140625" style="159" customWidth="1"/>
    <col min="10232" max="10232" width="42.7109375" style="159" customWidth="1"/>
    <col min="10233" max="10233" width="4.7109375" style="159" customWidth="1"/>
    <col min="10234" max="10234" width="9.7109375" style="159" customWidth="1"/>
    <col min="10235" max="10235" width="11.42578125" style="159" customWidth="1"/>
    <col min="10236" max="10236" width="15.28515625" style="159" customWidth="1"/>
    <col min="10237" max="10237" width="11.42578125" style="159" customWidth="1"/>
    <col min="10238" max="10240" width="9" style="159"/>
    <col min="10241" max="10241" width="14.42578125" style="159" customWidth="1"/>
    <col min="10242" max="10242" width="9" style="159"/>
    <col min="10243" max="10243" width="12.28515625" style="159" bestFit="1" customWidth="1"/>
    <col min="10244" max="10244" width="9" style="159"/>
    <col min="10245" max="10245" width="15.28515625" style="159" customWidth="1"/>
    <col min="10246" max="10485" width="9" style="159"/>
    <col min="10486" max="10486" width="3.28515625" style="159" customWidth="1"/>
    <col min="10487" max="10487" width="12.140625" style="159" customWidth="1"/>
    <col min="10488" max="10488" width="42.7109375" style="159" customWidth="1"/>
    <col min="10489" max="10489" width="4.7109375" style="159" customWidth="1"/>
    <col min="10490" max="10490" width="9.7109375" style="159" customWidth="1"/>
    <col min="10491" max="10491" width="11.42578125" style="159" customWidth="1"/>
    <col min="10492" max="10492" width="15.28515625" style="159" customWidth="1"/>
    <col min="10493" max="10493" width="11.42578125" style="159" customWidth="1"/>
    <col min="10494" max="10496" width="9" style="159"/>
    <col min="10497" max="10497" width="14.42578125" style="159" customWidth="1"/>
    <col min="10498" max="10498" width="9" style="159"/>
    <col min="10499" max="10499" width="12.28515625" style="159" bestFit="1" customWidth="1"/>
    <col min="10500" max="10500" width="9" style="159"/>
    <col min="10501" max="10501" width="15.28515625" style="159" customWidth="1"/>
    <col min="10502" max="10741" width="9" style="159"/>
    <col min="10742" max="10742" width="3.28515625" style="159" customWidth="1"/>
    <col min="10743" max="10743" width="12.140625" style="159" customWidth="1"/>
    <col min="10744" max="10744" width="42.7109375" style="159" customWidth="1"/>
    <col min="10745" max="10745" width="4.7109375" style="159" customWidth="1"/>
    <col min="10746" max="10746" width="9.7109375" style="159" customWidth="1"/>
    <col min="10747" max="10747" width="11.42578125" style="159" customWidth="1"/>
    <col min="10748" max="10748" width="15.28515625" style="159" customWidth="1"/>
    <col min="10749" max="10749" width="11.42578125" style="159" customWidth="1"/>
    <col min="10750" max="10752" width="9" style="159"/>
    <col min="10753" max="10753" width="14.42578125" style="159" customWidth="1"/>
    <col min="10754" max="10754" width="9" style="159"/>
    <col min="10755" max="10755" width="12.28515625" style="159" bestFit="1" customWidth="1"/>
    <col min="10756" max="10756" width="9" style="159"/>
    <col min="10757" max="10757" width="15.28515625" style="159" customWidth="1"/>
    <col min="10758" max="10997" width="9" style="159"/>
    <col min="10998" max="10998" width="3.28515625" style="159" customWidth="1"/>
    <col min="10999" max="10999" width="12.140625" style="159" customWidth="1"/>
    <col min="11000" max="11000" width="42.7109375" style="159" customWidth="1"/>
    <col min="11001" max="11001" width="4.7109375" style="159" customWidth="1"/>
    <col min="11002" max="11002" width="9.7109375" style="159" customWidth="1"/>
    <col min="11003" max="11003" width="11.42578125" style="159" customWidth="1"/>
    <col min="11004" max="11004" width="15.28515625" style="159" customWidth="1"/>
    <col min="11005" max="11005" width="11.42578125" style="159" customWidth="1"/>
    <col min="11006" max="11008" width="9" style="159"/>
    <col min="11009" max="11009" width="14.42578125" style="159" customWidth="1"/>
    <col min="11010" max="11010" width="9" style="159"/>
    <col min="11011" max="11011" width="12.28515625" style="159" bestFit="1" customWidth="1"/>
    <col min="11012" max="11012" width="9" style="159"/>
    <col min="11013" max="11013" width="15.28515625" style="159" customWidth="1"/>
    <col min="11014" max="11253" width="9" style="159"/>
    <col min="11254" max="11254" width="3.28515625" style="159" customWidth="1"/>
    <col min="11255" max="11255" width="12.140625" style="159" customWidth="1"/>
    <col min="11256" max="11256" width="42.7109375" style="159" customWidth="1"/>
    <col min="11257" max="11257" width="4.7109375" style="159" customWidth="1"/>
    <col min="11258" max="11258" width="9.7109375" style="159" customWidth="1"/>
    <col min="11259" max="11259" width="11.42578125" style="159" customWidth="1"/>
    <col min="11260" max="11260" width="15.28515625" style="159" customWidth="1"/>
    <col min="11261" max="11261" width="11.42578125" style="159" customWidth="1"/>
    <col min="11262" max="11264" width="9" style="159"/>
    <col min="11265" max="11265" width="14.42578125" style="159" customWidth="1"/>
    <col min="11266" max="11266" width="9" style="159"/>
    <col min="11267" max="11267" width="12.28515625" style="159" bestFit="1" customWidth="1"/>
    <col min="11268" max="11268" width="9" style="159"/>
    <col min="11269" max="11269" width="15.28515625" style="159" customWidth="1"/>
    <col min="11270" max="11509" width="9" style="159"/>
    <col min="11510" max="11510" width="3.28515625" style="159" customWidth="1"/>
    <col min="11511" max="11511" width="12.140625" style="159" customWidth="1"/>
    <col min="11512" max="11512" width="42.7109375" style="159" customWidth="1"/>
    <col min="11513" max="11513" width="4.7109375" style="159" customWidth="1"/>
    <col min="11514" max="11514" width="9.7109375" style="159" customWidth="1"/>
    <col min="11515" max="11515" width="11.42578125" style="159" customWidth="1"/>
    <col min="11516" max="11516" width="15.28515625" style="159" customWidth="1"/>
    <col min="11517" max="11517" width="11.42578125" style="159" customWidth="1"/>
    <col min="11518" max="11520" width="9" style="159"/>
    <col min="11521" max="11521" width="14.42578125" style="159" customWidth="1"/>
    <col min="11522" max="11522" width="9" style="159"/>
    <col min="11523" max="11523" width="12.28515625" style="159" bestFit="1" customWidth="1"/>
    <col min="11524" max="11524" width="9" style="159"/>
    <col min="11525" max="11525" width="15.28515625" style="159" customWidth="1"/>
    <col min="11526" max="11765" width="9" style="159"/>
    <col min="11766" max="11766" width="3.28515625" style="159" customWidth="1"/>
    <col min="11767" max="11767" width="12.140625" style="159" customWidth="1"/>
    <col min="11768" max="11768" width="42.7109375" style="159" customWidth="1"/>
    <col min="11769" max="11769" width="4.7109375" style="159" customWidth="1"/>
    <col min="11770" max="11770" width="9.7109375" style="159" customWidth="1"/>
    <col min="11771" max="11771" width="11.42578125" style="159" customWidth="1"/>
    <col min="11772" max="11772" width="15.28515625" style="159" customWidth="1"/>
    <col min="11773" max="11773" width="11.42578125" style="159" customWidth="1"/>
    <col min="11774" max="11776" width="9" style="159"/>
    <col min="11777" max="11777" width="14.42578125" style="159" customWidth="1"/>
    <col min="11778" max="11778" width="9" style="159"/>
    <col min="11779" max="11779" width="12.28515625" style="159" bestFit="1" customWidth="1"/>
    <col min="11780" max="11780" width="9" style="159"/>
    <col min="11781" max="11781" width="15.28515625" style="159" customWidth="1"/>
    <col min="11782" max="12021" width="9" style="159"/>
    <col min="12022" max="12022" width="3.28515625" style="159" customWidth="1"/>
    <col min="12023" max="12023" width="12.140625" style="159" customWidth="1"/>
    <col min="12024" max="12024" width="42.7109375" style="159" customWidth="1"/>
    <col min="12025" max="12025" width="4.7109375" style="159" customWidth="1"/>
    <col min="12026" max="12026" width="9.7109375" style="159" customWidth="1"/>
    <col min="12027" max="12027" width="11.42578125" style="159" customWidth="1"/>
    <col min="12028" max="12028" width="15.28515625" style="159" customWidth="1"/>
    <col min="12029" max="12029" width="11.42578125" style="159" customWidth="1"/>
    <col min="12030" max="12032" width="9" style="159"/>
    <col min="12033" max="12033" width="14.42578125" style="159" customWidth="1"/>
    <col min="12034" max="12034" width="9" style="159"/>
    <col min="12035" max="12035" width="12.28515625" style="159" bestFit="1" customWidth="1"/>
    <col min="12036" max="12036" width="9" style="159"/>
    <col min="12037" max="12037" width="15.28515625" style="159" customWidth="1"/>
    <col min="12038" max="12277" width="9" style="159"/>
    <col min="12278" max="12278" width="3.28515625" style="159" customWidth="1"/>
    <col min="12279" max="12279" width="12.140625" style="159" customWidth="1"/>
    <col min="12280" max="12280" width="42.7109375" style="159" customWidth="1"/>
    <col min="12281" max="12281" width="4.7109375" style="159" customWidth="1"/>
    <col min="12282" max="12282" width="9.7109375" style="159" customWidth="1"/>
    <col min="12283" max="12283" width="11.42578125" style="159" customWidth="1"/>
    <col min="12284" max="12284" width="15.28515625" style="159" customWidth="1"/>
    <col min="12285" max="12285" width="11.42578125" style="159" customWidth="1"/>
    <col min="12286" max="12288" width="9" style="159"/>
    <col min="12289" max="12289" width="14.42578125" style="159" customWidth="1"/>
    <col min="12290" max="12290" width="9" style="159"/>
    <col min="12291" max="12291" width="12.28515625" style="159" bestFit="1" customWidth="1"/>
    <col min="12292" max="12292" width="9" style="159"/>
    <col min="12293" max="12293" width="15.28515625" style="159" customWidth="1"/>
    <col min="12294" max="12533" width="9" style="159"/>
    <col min="12534" max="12534" width="3.28515625" style="159" customWidth="1"/>
    <col min="12535" max="12535" width="12.140625" style="159" customWidth="1"/>
    <col min="12536" max="12536" width="42.7109375" style="159" customWidth="1"/>
    <col min="12537" max="12537" width="4.7109375" style="159" customWidth="1"/>
    <col min="12538" max="12538" width="9.7109375" style="159" customWidth="1"/>
    <col min="12539" max="12539" width="11.42578125" style="159" customWidth="1"/>
    <col min="12540" max="12540" width="15.28515625" style="159" customWidth="1"/>
    <col min="12541" max="12541" width="11.42578125" style="159" customWidth="1"/>
    <col min="12542" max="12544" width="9" style="159"/>
    <col min="12545" max="12545" width="14.42578125" style="159" customWidth="1"/>
    <col min="12546" max="12546" width="9" style="159"/>
    <col min="12547" max="12547" width="12.28515625" style="159" bestFit="1" customWidth="1"/>
    <col min="12548" max="12548" width="9" style="159"/>
    <col min="12549" max="12549" width="15.28515625" style="159" customWidth="1"/>
    <col min="12550" max="12789" width="9" style="159"/>
    <col min="12790" max="12790" width="3.28515625" style="159" customWidth="1"/>
    <col min="12791" max="12791" width="12.140625" style="159" customWidth="1"/>
    <col min="12792" max="12792" width="42.7109375" style="159" customWidth="1"/>
    <col min="12793" max="12793" width="4.7109375" style="159" customWidth="1"/>
    <col min="12794" max="12794" width="9.7109375" style="159" customWidth="1"/>
    <col min="12795" max="12795" width="11.42578125" style="159" customWidth="1"/>
    <col min="12796" max="12796" width="15.28515625" style="159" customWidth="1"/>
    <col min="12797" max="12797" width="11.42578125" style="159" customWidth="1"/>
    <col min="12798" max="12800" width="9" style="159"/>
    <col min="12801" max="12801" width="14.42578125" style="159" customWidth="1"/>
    <col min="12802" max="12802" width="9" style="159"/>
    <col min="12803" max="12803" width="12.28515625" style="159" bestFit="1" customWidth="1"/>
    <col min="12804" max="12804" width="9" style="159"/>
    <col min="12805" max="12805" width="15.28515625" style="159" customWidth="1"/>
    <col min="12806" max="13045" width="9" style="159"/>
    <col min="13046" max="13046" width="3.28515625" style="159" customWidth="1"/>
    <col min="13047" max="13047" width="12.140625" style="159" customWidth="1"/>
    <col min="13048" max="13048" width="42.7109375" style="159" customWidth="1"/>
    <col min="13049" max="13049" width="4.7109375" style="159" customWidth="1"/>
    <col min="13050" max="13050" width="9.7109375" style="159" customWidth="1"/>
    <col min="13051" max="13051" width="11.42578125" style="159" customWidth="1"/>
    <col min="13052" max="13052" width="15.28515625" style="159" customWidth="1"/>
    <col min="13053" max="13053" width="11.42578125" style="159" customWidth="1"/>
    <col min="13054" max="13056" width="9" style="159"/>
    <col min="13057" max="13057" width="14.42578125" style="159" customWidth="1"/>
    <col min="13058" max="13058" width="9" style="159"/>
    <col min="13059" max="13059" width="12.28515625" style="159" bestFit="1" customWidth="1"/>
    <col min="13060" max="13060" width="9" style="159"/>
    <col min="13061" max="13061" width="15.28515625" style="159" customWidth="1"/>
    <col min="13062" max="13301" width="9" style="159"/>
    <col min="13302" max="13302" width="3.28515625" style="159" customWidth="1"/>
    <col min="13303" max="13303" width="12.140625" style="159" customWidth="1"/>
    <col min="13304" max="13304" width="42.7109375" style="159" customWidth="1"/>
    <col min="13305" max="13305" width="4.7109375" style="159" customWidth="1"/>
    <col min="13306" max="13306" width="9.7109375" style="159" customWidth="1"/>
    <col min="13307" max="13307" width="11.42578125" style="159" customWidth="1"/>
    <col min="13308" max="13308" width="15.28515625" style="159" customWidth="1"/>
    <col min="13309" max="13309" width="11.42578125" style="159" customWidth="1"/>
    <col min="13310" max="13312" width="9" style="159"/>
    <col min="13313" max="13313" width="14.42578125" style="159" customWidth="1"/>
    <col min="13314" max="13314" width="9" style="159"/>
    <col min="13315" max="13315" width="12.28515625" style="159" bestFit="1" customWidth="1"/>
    <col min="13316" max="13316" width="9" style="159"/>
    <col min="13317" max="13317" width="15.28515625" style="159" customWidth="1"/>
    <col min="13318" max="13557" width="9" style="159"/>
    <col min="13558" max="13558" width="3.28515625" style="159" customWidth="1"/>
    <col min="13559" max="13559" width="12.140625" style="159" customWidth="1"/>
    <col min="13560" max="13560" width="42.7109375" style="159" customWidth="1"/>
    <col min="13561" max="13561" width="4.7109375" style="159" customWidth="1"/>
    <col min="13562" max="13562" width="9.7109375" style="159" customWidth="1"/>
    <col min="13563" max="13563" width="11.42578125" style="159" customWidth="1"/>
    <col min="13564" max="13564" width="15.28515625" style="159" customWidth="1"/>
    <col min="13565" max="13565" width="11.42578125" style="159" customWidth="1"/>
    <col min="13566" max="13568" width="9" style="159"/>
    <col min="13569" max="13569" width="14.42578125" style="159" customWidth="1"/>
    <col min="13570" max="13570" width="9" style="159"/>
    <col min="13571" max="13571" width="12.28515625" style="159" bestFit="1" customWidth="1"/>
    <col min="13572" max="13572" width="9" style="159"/>
    <col min="13573" max="13573" width="15.28515625" style="159" customWidth="1"/>
    <col min="13574" max="13813" width="9" style="159"/>
    <col min="13814" max="13814" width="3.28515625" style="159" customWidth="1"/>
    <col min="13815" max="13815" width="12.140625" style="159" customWidth="1"/>
    <col min="13816" max="13816" width="42.7109375" style="159" customWidth="1"/>
    <col min="13817" max="13817" width="4.7109375" style="159" customWidth="1"/>
    <col min="13818" max="13818" width="9.7109375" style="159" customWidth="1"/>
    <col min="13819" max="13819" width="11.42578125" style="159" customWidth="1"/>
    <col min="13820" max="13820" width="15.28515625" style="159" customWidth="1"/>
    <col min="13821" max="13821" width="11.42578125" style="159" customWidth="1"/>
    <col min="13822" max="13824" width="9" style="159"/>
    <col min="13825" max="13825" width="14.42578125" style="159" customWidth="1"/>
    <col min="13826" max="13826" width="9" style="159"/>
    <col min="13827" max="13827" width="12.28515625" style="159" bestFit="1" customWidth="1"/>
    <col min="13828" max="13828" width="9" style="159"/>
    <col min="13829" max="13829" width="15.28515625" style="159" customWidth="1"/>
    <col min="13830" max="14069" width="9" style="159"/>
    <col min="14070" max="14070" width="3.28515625" style="159" customWidth="1"/>
    <col min="14071" max="14071" width="12.140625" style="159" customWidth="1"/>
    <col min="14072" max="14072" width="42.7109375" style="159" customWidth="1"/>
    <col min="14073" max="14073" width="4.7109375" style="159" customWidth="1"/>
    <col min="14074" max="14074" width="9.7109375" style="159" customWidth="1"/>
    <col min="14075" max="14075" width="11.42578125" style="159" customWidth="1"/>
    <col min="14076" max="14076" width="15.28515625" style="159" customWidth="1"/>
    <col min="14077" max="14077" width="11.42578125" style="159" customWidth="1"/>
    <col min="14078" max="14080" width="9" style="159"/>
    <col min="14081" max="14081" width="14.42578125" style="159" customWidth="1"/>
    <col min="14082" max="14082" width="9" style="159"/>
    <col min="14083" max="14083" width="12.28515625" style="159" bestFit="1" customWidth="1"/>
    <col min="14084" max="14084" width="9" style="159"/>
    <col min="14085" max="14085" width="15.28515625" style="159" customWidth="1"/>
    <col min="14086" max="14325" width="9" style="159"/>
    <col min="14326" max="14326" width="3.28515625" style="159" customWidth="1"/>
    <col min="14327" max="14327" width="12.140625" style="159" customWidth="1"/>
    <col min="14328" max="14328" width="42.7109375" style="159" customWidth="1"/>
    <col min="14329" max="14329" width="4.7109375" style="159" customWidth="1"/>
    <col min="14330" max="14330" width="9.7109375" style="159" customWidth="1"/>
    <col min="14331" max="14331" width="11.42578125" style="159" customWidth="1"/>
    <col min="14332" max="14332" width="15.28515625" style="159" customWidth="1"/>
    <col min="14333" max="14333" width="11.42578125" style="159" customWidth="1"/>
    <col min="14334" max="14336" width="9" style="159"/>
    <col min="14337" max="14337" width="14.42578125" style="159" customWidth="1"/>
    <col min="14338" max="14338" width="9" style="159"/>
    <col min="14339" max="14339" width="12.28515625" style="159" bestFit="1" customWidth="1"/>
    <col min="14340" max="14340" width="9" style="159"/>
    <col min="14341" max="14341" width="15.28515625" style="159" customWidth="1"/>
    <col min="14342" max="14581" width="9" style="159"/>
    <col min="14582" max="14582" width="3.28515625" style="159" customWidth="1"/>
    <col min="14583" max="14583" width="12.140625" style="159" customWidth="1"/>
    <col min="14584" max="14584" width="42.7109375" style="159" customWidth="1"/>
    <col min="14585" max="14585" width="4.7109375" style="159" customWidth="1"/>
    <col min="14586" max="14586" width="9.7109375" style="159" customWidth="1"/>
    <col min="14587" max="14587" width="11.42578125" style="159" customWidth="1"/>
    <col min="14588" max="14588" width="15.28515625" style="159" customWidth="1"/>
    <col min="14589" max="14589" width="11.42578125" style="159" customWidth="1"/>
    <col min="14590" max="14592" width="9" style="159"/>
    <col min="14593" max="14593" width="14.42578125" style="159" customWidth="1"/>
    <col min="14594" max="14594" width="9" style="159"/>
    <col min="14595" max="14595" width="12.28515625" style="159" bestFit="1" customWidth="1"/>
    <col min="14596" max="14596" width="9" style="159"/>
    <col min="14597" max="14597" width="15.28515625" style="159" customWidth="1"/>
    <col min="14598" max="14837" width="9" style="159"/>
    <col min="14838" max="14838" width="3.28515625" style="159" customWidth="1"/>
    <col min="14839" max="14839" width="12.140625" style="159" customWidth="1"/>
    <col min="14840" max="14840" width="42.7109375" style="159" customWidth="1"/>
    <col min="14841" max="14841" width="4.7109375" style="159" customWidth="1"/>
    <col min="14842" max="14842" width="9.7109375" style="159" customWidth="1"/>
    <col min="14843" max="14843" width="11.42578125" style="159" customWidth="1"/>
    <col min="14844" max="14844" width="15.28515625" style="159" customWidth="1"/>
    <col min="14845" max="14845" width="11.42578125" style="159" customWidth="1"/>
    <col min="14846" max="14848" width="9" style="159"/>
    <col min="14849" max="14849" width="14.42578125" style="159" customWidth="1"/>
    <col min="14850" max="14850" width="9" style="159"/>
    <col min="14851" max="14851" width="12.28515625" style="159" bestFit="1" customWidth="1"/>
    <col min="14852" max="14852" width="9" style="159"/>
    <col min="14853" max="14853" width="15.28515625" style="159" customWidth="1"/>
    <col min="14854" max="15093" width="9" style="159"/>
    <col min="15094" max="15094" width="3.28515625" style="159" customWidth="1"/>
    <col min="15095" max="15095" width="12.140625" style="159" customWidth="1"/>
    <col min="15096" max="15096" width="42.7109375" style="159" customWidth="1"/>
    <col min="15097" max="15097" width="4.7109375" style="159" customWidth="1"/>
    <col min="15098" max="15098" width="9.7109375" style="159" customWidth="1"/>
    <col min="15099" max="15099" width="11.42578125" style="159" customWidth="1"/>
    <col min="15100" max="15100" width="15.28515625" style="159" customWidth="1"/>
    <col min="15101" max="15101" width="11.42578125" style="159" customWidth="1"/>
    <col min="15102" max="15104" width="9" style="159"/>
    <col min="15105" max="15105" width="14.42578125" style="159" customWidth="1"/>
    <col min="15106" max="15106" width="9" style="159"/>
    <col min="15107" max="15107" width="12.28515625" style="159" bestFit="1" customWidth="1"/>
    <col min="15108" max="15108" width="9" style="159"/>
    <col min="15109" max="15109" width="15.28515625" style="159" customWidth="1"/>
    <col min="15110" max="15349" width="9" style="159"/>
    <col min="15350" max="15350" width="3.28515625" style="159" customWidth="1"/>
    <col min="15351" max="15351" width="12.140625" style="159" customWidth="1"/>
    <col min="15352" max="15352" width="42.7109375" style="159" customWidth="1"/>
    <col min="15353" max="15353" width="4.7109375" style="159" customWidth="1"/>
    <col min="15354" max="15354" width="9.7109375" style="159" customWidth="1"/>
    <col min="15355" max="15355" width="11.42578125" style="159" customWidth="1"/>
    <col min="15356" max="15356" width="15.28515625" style="159" customWidth="1"/>
    <col min="15357" max="15357" width="11.42578125" style="159" customWidth="1"/>
    <col min="15358" max="15360" width="9" style="159"/>
    <col min="15361" max="15361" width="14.42578125" style="159" customWidth="1"/>
    <col min="15362" max="15362" width="9" style="159"/>
    <col min="15363" max="15363" width="12.28515625" style="159" bestFit="1" customWidth="1"/>
    <col min="15364" max="15364" width="9" style="159"/>
    <col min="15365" max="15365" width="15.28515625" style="159" customWidth="1"/>
    <col min="15366" max="15605" width="9" style="159"/>
    <col min="15606" max="15606" width="3.28515625" style="159" customWidth="1"/>
    <col min="15607" max="15607" width="12.140625" style="159" customWidth="1"/>
    <col min="15608" max="15608" width="42.7109375" style="159" customWidth="1"/>
    <col min="15609" max="15609" width="4.7109375" style="159" customWidth="1"/>
    <col min="15610" max="15610" width="9.7109375" style="159" customWidth="1"/>
    <col min="15611" max="15611" width="11.42578125" style="159" customWidth="1"/>
    <col min="15612" max="15612" width="15.28515625" style="159" customWidth="1"/>
    <col min="15613" max="15613" width="11.42578125" style="159" customWidth="1"/>
    <col min="15614" max="15616" width="9" style="159"/>
    <col min="15617" max="15617" width="14.42578125" style="159" customWidth="1"/>
    <col min="15618" max="15618" width="9" style="159"/>
    <col min="15619" max="15619" width="12.28515625" style="159" bestFit="1" customWidth="1"/>
    <col min="15620" max="15620" width="9" style="159"/>
    <col min="15621" max="15621" width="15.28515625" style="159" customWidth="1"/>
    <col min="15622" max="15861" width="9" style="159"/>
    <col min="15862" max="15862" width="3.28515625" style="159" customWidth="1"/>
    <col min="15863" max="15863" width="12.140625" style="159" customWidth="1"/>
    <col min="15864" max="15864" width="42.7109375" style="159" customWidth="1"/>
    <col min="15865" max="15865" width="4.7109375" style="159" customWidth="1"/>
    <col min="15866" max="15866" width="9.7109375" style="159" customWidth="1"/>
    <col min="15867" max="15867" width="11.42578125" style="159" customWidth="1"/>
    <col min="15868" max="15868" width="15.28515625" style="159" customWidth="1"/>
    <col min="15869" max="15869" width="11.42578125" style="159" customWidth="1"/>
    <col min="15870" max="15872" width="9" style="159"/>
    <col min="15873" max="15873" width="14.42578125" style="159" customWidth="1"/>
    <col min="15874" max="15874" width="9" style="159"/>
    <col min="15875" max="15875" width="12.28515625" style="159" bestFit="1" customWidth="1"/>
    <col min="15876" max="15876" width="9" style="159"/>
    <col min="15877" max="15877" width="15.28515625" style="159" customWidth="1"/>
    <col min="15878" max="16117" width="9" style="159"/>
    <col min="16118" max="16118" width="3.28515625" style="159" customWidth="1"/>
    <col min="16119" max="16119" width="12.140625" style="159" customWidth="1"/>
    <col min="16120" max="16120" width="42.7109375" style="159" customWidth="1"/>
    <col min="16121" max="16121" width="4.7109375" style="159" customWidth="1"/>
    <col min="16122" max="16122" width="9.7109375" style="159" customWidth="1"/>
    <col min="16123" max="16123" width="11.42578125" style="159" customWidth="1"/>
    <col min="16124" max="16124" width="15.28515625" style="159" customWidth="1"/>
    <col min="16125" max="16125" width="11.42578125" style="159" customWidth="1"/>
    <col min="16126" max="16128" width="9" style="159"/>
    <col min="16129" max="16129" width="14.42578125" style="159" customWidth="1"/>
    <col min="16130" max="16130" width="9" style="159"/>
    <col min="16131" max="16131" width="12.28515625" style="159" bestFit="1" customWidth="1"/>
    <col min="16132" max="16132" width="9" style="159"/>
    <col min="16133" max="16133" width="15.28515625" style="159" customWidth="1"/>
    <col min="16134" max="16384" width="9" style="159"/>
  </cols>
  <sheetData>
    <row r="1" spans="1:8" s="119" customFormat="1" ht="27.75" customHeight="1">
      <c r="A1" s="371" t="s">
        <v>1753</v>
      </c>
      <c r="B1" s="371"/>
      <c r="C1" s="371"/>
      <c r="D1" s="371"/>
      <c r="E1" s="371"/>
      <c r="F1" s="371"/>
      <c r="G1" s="371"/>
      <c r="H1" s="371"/>
    </row>
    <row r="2" spans="1:8" s="119" customFormat="1" ht="12.75" customHeight="1">
      <c r="A2" s="120" t="s">
        <v>1754</v>
      </c>
      <c r="B2" s="120"/>
      <c r="C2" s="120"/>
      <c r="D2" s="120"/>
      <c r="E2" s="120"/>
      <c r="F2" s="120"/>
      <c r="G2" s="120"/>
      <c r="H2" s="120"/>
    </row>
    <row r="3" spans="1:8" s="119" customFormat="1" ht="12.75" customHeight="1">
      <c r="A3" s="120" t="s">
        <v>1170</v>
      </c>
      <c r="B3" s="120"/>
      <c r="C3" s="120"/>
      <c r="D3" s="120"/>
      <c r="E3" s="120"/>
      <c r="F3" s="120"/>
      <c r="G3" s="120"/>
      <c r="H3" s="120"/>
    </row>
    <row r="4" spans="1:8" s="119" customFormat="1" ht="13.5" customHeight="1">
      <c r="A4" s="121"/>
      <c r="B4" s="120"/>
      <c r="C4" s="121"/>
      <c r="D4" s="120"/>
      <c r="E4" s="120"/>
      <c r="F4" s="120"/>
      <c r="G4" s="120"/>
      <c r="H4" s="120"/>
    </row>
    <row r="5" spans="1:8" s="119" customFormat="1" ht="6.75" customHeight="1">
      <c r="A5" s="122"/>
      <c r="B5" s="123"/>
      <c r="C5" s="124"/>
      <c r="D5" s="123"/>
      <c r="E5" s="125"/>
      <c r="F5" s="126"/>
      <c r="G5" s="126"/>
      <c r="H5" s="127"/>
    </row>
    <row r="6" spans="1:8" s="119" customFormat="1" ht="12.75" customHeight="1">
      <c r="A6" s="128" t="s">
        <v>1171</v>
      </c>
      <c r="B6" s="128"/>
      <c r="C6" s="128"/>
      <c r="D6" s="128"/>
      <c r="E6" s="128"/>
      <c r="F6" s="128"/>
      <c r="G6" s="128"/>
      <c r="H6" s="128"/>
    </row>
    <row r="7" spans="1:8" s="119" customFormat="1" ht="12.75" customHeight="1">
      <c r="A7" s="128" t="s">
        <v>1172</v>
      </c>
      <c r="B7" s="128"/>
      <c r="C7" s="128"/>
      <c r="D7" s="128"/>
      <c r="E7" s="128"/>
      <c r="F7" s="128"/>
      <c r="G7" s="128" t="s">
        <v>1173</v>
      </c>
      <c r="H7" s="128"/>
    </row>
    <row r="8" spans="1:8" s="119" customFormat="1" ht="12.75" customHeight="1">
      <c r="A8" s="128" t="s">
        <v>1174</v>
      </c>
      <c r="B8" s="129"/>
      <c r="C8" s="129"/>
      <c r="D8" s="129"/>
      <c r="E8" s="130"/>
      <c r="F8" s="131"/>
      <c r="G8" s="128" t="s">
        <v>1175</v>
      </c>
      <c r="H8" s="130"/>
    </row>
    <row r="9" spans="1:8" s="119" customFormat="1" ht="6.75" customHeight="1">
      <c r="A9" s="132"/>
      <c r="B9" s="132"/>
      <c r="C9" s="132"/>
      <c r="D9" s="132"/>
      <c r="E9" s="132"/>
      <c r="F9" s="132"/>
      <c r="G9" s="132"/>
      <c r="H9" s="132"/>
    </row>
    <row r="10" spans="1:8" s="119" customFormat="1" ht="28.5" customHeight="1">
      <c r="A10" s="133" t="s">
        <v>1176</v>
      </c>
      <c r="B10" s="133" t="s">
        <v>1177</v>
      </c>
      <c r="C10" s="133" t="s">
        <v>1178</v>
      </c>
      <c r="D10" s="133" t="s">
        <v>7</v>
      </c>
      <c r="E10" s="133" t="s">
        <v>1179</v>
      </c>
      <c r="F10" s="133" t="s">
        <v>1180</v>
      </c>
      <c r="G10" s="133" t="s">
        <v>1181</v>
      </c>
      <c r="H10" s="133" t="s">
        <v>1182</v>
      </c>
    </row>
    <row r="11" spans="1:8" s="119" customFormat="1" ht="12.75" hidden="1" customHeight="1">
      <c r="A11" s="133" t="s">
        <v>18</v>
      </c>
      <c r="B11" s="133" t="s">
        <v>1083</v>
      </c>
      <c r="C11" s="133" t="s">
        <v>1087</v>
      </c>
      <c r="D11" s="133" t="s">
        <v>1090</v>
      </c>
      <c r="E11" s="133" t="s">
        <v>1055</v>
      </c>
      <c r="F11" s="133" t="s">
        <v>1097</v>
      </c>
      <c r="G11" s="133" t="s">
        <v>1100</v>
      </c>
      <c r="H11" s="133" t="s">
        <v>1104</v>
      </c>
    </row>
    <row r="12" spans="1:8" s="119" customFormat="1" ht="5.25" customHeight="1">
      <c r="A12" s="132"/>
      <c r="B12" s="132"/>
      <c r="C12" s="132"/>
      <c r="D12" s="132"/>
      <c r="E12" s="132"/>
      <c r="F12" s="132"/>
      <c r="G12" s="132"/>
      <c r="H12" s="132"/>
    </row>
    <row r="13" spans="1:8" s="119" customFormat="1" ht="30.75" customHeight="1">
      <c r="A13" s="134"/>
      <c r="B13" s="135" t="s">
        <v>1183</v>
      </c>
      <c r="C13" s="135" t="s">
        <v>1184</v>
      </c>
      <c r="D13" s="135"/>
      <c r="E13" s="136"/>
      <c r="F13" s="137"/>
      <c r="G13" s="137">
        <f>G14+G21+G48+G52+G59+G82</f>
        <v>0</v>
      </c>
      <c r="H13" s="136">
        <v>0.44178000000000001</v>
      </c>
    </row>
    <row r="14" spans="1:8" s="119" customFormat="1" ht="28.5" customHeight="1">
      <c r="A14" s="138"/>
      <c r="B14" s="139" t="s">
        <v>27</v>
      </c>
      <c r="C14" s="139" t="s">
        <v>1185</v>
      </c>
      <c r="D14" s="139"/>
      <c r="E14" s="140"/>
      <c r="F14" s="141"/>
      <c r="G14" s="141">
        <f>SUM(G15:G20)</f>
        <v>0</v>
      </c>
      <c r="H14" s="140">
        <v>4.24E-2</v>
      </c>
    </row>
    <row r="15" spans="1:8" s="119" customFormat="1" ht="24" customHeight="1">
      <c r="A15" s="142">
        <v>1</v>
      </c>
      <c r="B15" s="143" t="s">
        <v>1186</v>
      </c>
      <c r="C15" s="143" t="s">
        <v>1187</v>
      </c>
      <c r="D15" s="143" t="s">
        <v>62</v>
      </c>
      <c r="E15" s="144">
        <v>424</v>
      </c>
      <c r="F15" s="145"/>
      <c r="G15" s="145">
        <f>E15*F15</f>
        <v>0</v>
      </c>
      <c r="H15" s="144">
        <v>4.24E-2</v>
      </c>
    </row>
    <row r="16" spans="1:8" s="119" customFormat="1" ht="13.5" customHeight="1">
      <c r="A16" s="146">
        <v>2</v>
      </c>
      <c r="B16" s="147" t="s">
        <v>1188</v>
      </c>
      <c r="C16" s="147" t="s">
        <v>1189</v>
      </c>
      <c r="D16" s="147" t="s">
        <v>62</v>
      </c>
      <c r="E16" s="148">
        <v>192</v>
      </c>
      <c r="F16" s="149"/>
      <c r="G16" s="150">
        <f t="shared" ref="G16:G20" si="0">E16*F16</f>
        <v>0</v>
      </c>
      <c r="H16" s="148">
        <v>0</v>
      </c>
    </row>
    <row r="17" spans="1:8" s="119" customFormat="1" ht="13.5" customHeight="1">
      <c r="A17" s="146">
        <v>3</v>
      </c>
      <c r="B17" s="147" t="s">
        <v>1190</v>
      </c>
      <c r="C17" s="147" t="s">
        <v>1191</v>
      </c>
      <c r="D17" s="147" t="s">
        <v>62</v>
      </c>
      <c r="E17" s="148">
        <v>82</v>
      </c>
      <c r="F17" s="149"/>
      <c r="G17" s="150">
        <f t="shared" si="0"/>
        <v>0</v>
      </c>
      <c r="H17" s="148">
        <v>0</v>
      </c>
    </row>
    <row r="18" spans="1:8" s="119" customFormat="1" ht="13.5" customHeight="1">
      <c r="A18" s="146">
        <v>4</v>
      </c>
      <c r="B18" s="147" t="s">
        <v>1192</v>
      </c>
      <c r="C18" s="147" t="s">
        <v>1193</v>
      </c>
      <c r="D18" s="147" t="s">
        <v>62</v>
      </c>
      <c r="E18" s="148">
        <v>0</v>
      </c>
      <c r="F18" s="149"/>
      <c r="G18" s="150">
        <f t="shared" si="0"/>
        <v>0</v>
      </c>
      <c r="H18" s="148">
        <v>0</v>
      </c>
    </row>
    <row r="19" spans="1:8" s="119" customFormat="1" ht="13.5" customHeight="1">
      <c r="A19" s="146">
        <v>5</v>
      </c>
      <c r="B19" s="147" t="s">
        <v>1194</v>
      </c>
      <c r="C19" s="147" t="s">
        <v>1195</v>
      </c>
      <c r="D19" s="147" t="s">
        <v>62</v>
      </c>
      <c r="E19" s="148">
        <v>0</v>
      </c>
      <c r="F19" s="149"/>
      <c r="G19" s="150">
        <f t="shared" si="0"/>
        <v>0</v>
      </c>
      <c r="H19" s="148">
        <v>0</v>
      </c>
    </row>
    <row r="20" spans="1:8" s="119" customFormat="1" ht="13.5" customHeight="1">
      <c r="A20" s="142">
        <v>6</v>
      </c>
      <c r="B20" s="143" t="s">
        <v>1196</v>
      </c>
      <c r="C20" s="143" t="s">
        <v>1197</v>
      </c>
      <c r="D20" s="143" t="s">
        <v>1198</v>
      </c>
      <c r="E20" s="144">
        <v>302.14</v>
      </c>
      <c r="F20" s="145"/>
      <c r="G20" s="145">
        <f t="shared" si="0"/>
        <v>0</v>
      </c>
      <c r="H20" s="144">
        <v>0</v>
      </c>
    </row>
    <row r="21" spans="1:8" s="119" customFormat="1" ht="28.5" customHeight="1">
      <c r="A21" s="138"/>
      <c r="B21" s="139" t="s">
        <v>1199</v>
      </c>
      <c r="C21" s="139" t="s">
        <v>1200</v>
      </c>
      <c r="D21" s="139"/>
      <c r="E21" s="140"/>
      <c r="F21" s="141"/>
      <c r="G21" s="141">
        <f>SUM(G22:G47)</f>
        <v>0</v>
      </c>
      <c r="H21" s="140">
        <v>0</v>
      </c>
    </row>
    <row r="22" spans="1:8" s="119" customFormat="1" ht="13.5" customHeight="1">
      <c r="A22" s="142">
        <v>7</v>
      </c>
      <c r="B22" s="143" t="s">
        <v>1201</v>
      </c>
      <c r="C22" s="143" t="s">
        <v>1202</v>
      </c>
      <c r="D22" s="143" t="s">
        <v>1203</v>
      </c>
      <c r="E22" s="144">
        <v>1</v>
      </c>
      <c r="F22" s="145"/>
      <c r="G22" s="145">
        <f>E22*F22</f>
        <v>0</v>
      </c>
      <c r="H22" s="144">
        <v>0</v>
      </c>
    </row>
    <row r="23" spans="1:8" s="119" customFormat="1" ht="13.5" customHeight="1">
      <c r="A23" s="146">
        <v>8</v>
      </c>
      <c r="B23" s="147" t="s">
        <v>1204</v>
      </c>
      <c r="C23" s="147" t="s">
        <v>1205</v>
      </c>
      <c r="D23" s="147" t="s">
        <v>52</v>
      </c>
      <c r="E23" s="148">
        <v>1</v>
      </c>
      <c r="F23" s="149"/>
      <c r="G23" s="150">
        <f t="shared" ref="G23:G27" si="1">E23*F23</f>
        <v>0</v>
      </c>
      <c r="H23" s="148">
        <v>0</v>
      </c>
    </row>
    <row r="24" spans="1:8" s="119" customFormat="1" ht="13.5" customHeight="1">
      <c r="A24" s="146">
        <v>9</v>
      </c>
      <c r="B24" s="147" t="s">
        <v>1206</v>
      </c>
      <c r="C24" s="147" t="s">
        <v>1207</v>
      </c>
      <c r="D24" s="147" t="s">
        <v>52</v>
      </c>
      <c r="E24" s="148">
        <v>1</v>
      </c>
      <c r="F24" s="149"/>
      <c r="G24" s="150">
        <f t="shared" si="1"/>
        <v>0</v>
      </c>
      <c r="H24" s="148">
        <v>0</v>
      </c>
    </row>
    <row r="25" spans="1:8" s="119" customFormat="1" ht="13.5" customHeight="1">
      <c r="A25" s="146">
        <v>10</v>
      </c>
      <c r="B25" s="147" t="s">
        <v>1208</v>
      </c>
      <c r="C25" s="147" t="s">
        <v>1209</v>
      </c>
      <c r="D25" s="147" t="s">
        <v>52</v>
      </c>
      <c r="E25" s="148">
        <v>1</v>
      </c>
      <c r="F25" s="149"/>
      <c r="G25" s="150">
        <f t="shared" si="1"/>
        <v>0</v>
      </c>
      <c r="H25" s="148">
        <v>0</v>
      </c>
    </row>
    <row r="26" spans="1:8" s="119" customFormat="1" ht="24" customHeight="1">
      <c r="A26" s="146">
        <v>11</v>
      </c>
      <c r="B26" s="147" t="s">
        <v>1210</v>
      </c>
      <c r="C26" s="147" t="s">
        <v>1211</v>
      </c>
      <c r="D26" s="147" t="s">
        <v>52</v>
      </c>
      <c r="E26" s="148">
        <v>3</v>
      </c>
      <c r="F26" s="149"/>
      <c r="G26" s="150">
        <f t="shared" si="1"/>
        <v>0</v>
      </c>
      <c r="H26" s="148">
        <v>0</v>
      </c>
    </row>
    <row r="27" spans="1:8" s="119" customFormat="1" ht="13.5" customHeight="1">
      <c r="A27" s="146">
        <v>12</v>
      </c>
      <c r="B27" s="147" t="s">
        <v>1212</v>
      </c>
      <c r="C27" s="147" t="s">
        <v>1213</v>
      </c>
      <c r="D27" s="147" t="s">
        <v>52</v>
      </c>
      <c r="E27" s="148">
        <v>1</v>
      </c>
      <c r="F27" s="149"/>
      <c r="G27" s="150">
        <f t="shared" si="1"/>
        <v>0</v>
      </c>
      <c r="H27" s="148">
        <v>0</v>
      </c>
    </row>
    <row r="28" spans="1:8" s="119" customFormat="1" ht="13.5" customHeight="1">
      <c r="A28" s="142">
        <v>13</v>
      </c>
      <c r="B28" s="143" t="s">
        <v>1214</v>
      </c>
      <c r="C28" s="143" t="s">
        <v>1215</v>
      </c>
      <c r="D28" s="143" t="s">
        <v>1203</v>
      </c>
      <c r="E28" s="144">
        <v>1</v>
      </c>
      <c r="F28" s="145"/>
      <c r="G28" s="145">
        <f>E28*F28</f>
        <v>0</v>
      </c>
      <c r="H28" s="144">
        <v>0</v>
      </c>
    </row>
    <row r="29" spans="1:8" s="119" customFormat="1" ht="24" customHeight="1">
      <c r="A29" s="142">
        <v>14</v>
      </c>
      <c r="B29" s="143" t="s">
        <v>1216</v>
      </c>
      <c r="C29" s="143" t="s">
        <v>1217</v>
      </c>
      <c r="D29" s="143" t="s">
        <v>958</v>
      </c>
      <c r="E29" s="144">
        <v>1</v>
      </c>
      <c r="F29" s="145"/>
      <c r="G29" s="145">
        <f>E29*F29</f>
        <v>0</v>
      </c>
      <c r="H29" s="144">
        <v>0</v>
      </c>
    </row>
    <row r="30" spans="1:8" s="119" customFormat="1" ht="22.15" customHeight="1">
      <c r="A30" s="146">
        <v>15</v>
      </c>
      <c r="B30" s="147" t="s">
        <v>1218</v>
      </c>
      <c r="C30" s="147" t="s">
        <v>1219</v>
      </c>
      <c r="D30" s="147" t="s">
        <v>52</v>
      </c>
      <c r="E30" s="148">
        <v>1</v>
      </c>
      <c r="F30" s="149"/>
      <c r="G30" s="149">
        <f>E30*F30</f>
        <v>0</v>
      </c>
      <c r="H30" s="148">
        <v>0</v>
      </c>
    </row>
    <row r="31" spans="1:8" s="119" customFormat="1" ht="13.5" customHeight="1">
      <c r="A31" s="146">
        <v>16</v>
      </c>
      <c r="B31" s="147" t="s">
        <v>1220</v>
      </c>
      <c r="C31" s="147" t="s">
        <v>1221</v>
      </c>
      <c r="D31" s="147" t="s">
        <v>52</v>
      </c>
      <c r="E31" s="148">
        <v>1</v>
      </c>
      <c r="F31" s="149"/>
      <c r="G31" s="149">
        <f t="shared" ref="G31:G40" si="2">E31*F31</f>
        <v>0</v>
      </c>
      <c r="H31" s="148">
        <v>0</v>
      </c>
    </row>
    <row r="32" spans="1:8" s="119" customFormat="1" ht="13.5" customHeight="1">
      <c r="A32" s="146">
        <v>17</v>
      </c>
      <c r="B32" s="147" t="s">
        <v>1222</v>
      </c>
      <c r="C32" s="147" t="s">
        <v>1223</v>
      </c>
      <c r="D32" s="147" t="s">
        <v>52</v>
      </c>
      <c r="E32" s="148">
        <v>6</v>
      </c>
      <c r="F32" s="149"/>
      <c r="G32" s="149">
        <f t="shared" si="2"/>
        <v>0</v>
      </c>
      <c r="H32" s="148">
        <v>0</v>
      </c>
    </row>
    <row r="33" spans="1:8" s="119" customFormat="1" ht="13.5" customHeight="1">
      <c r="A33" s="146">
        <v>18</v>
      </c>
      <c r="B33" s="147" t="s">
        <v>1224</v>
      </c>
      <c r="C33" s="147" t="s">
        <v>1225</v>
      </c>
      <c r="D33" s="147" t="s">
        <v>52</v>
      </c>
      <c r="E33" s="148">
        <v>1</v>
      </c>
      <c r="F33" s="149"/>
      <c r="G33" s="149">
        <f t="shared" si="2"/>
        <v>0</v>
      </c>
      <c r="H33" s="148">
        <v>0</v>
      </c>
    </row>
    <row r="34" spans="1:8" s="119" customFormat="1" ht="24" customHeight="1">
      <c r="A34" s="146">
        <v>19</v>
      </c>
      <c r="B34" s="147" t="s">
        <v>1226</v>
      </c>
      <c r="C34" s="147" t="s">
        <v>1227</v>
      </c>
      <c r="D34" s="147" t="s">
        <v>52</v>
      </c>
      <c r="E34" s="148">
        <v>1</v>
      </c>
      <c r="F34" s="149"/>
      <c r="G34" s="149">
        <f t="shared" si="2"/>
        <v>0</v>
      </c>
      <c r="H34" s="148">
        <v>0</v>
      </c>
    </row>
    <row r="35" spans="1:8" s="119" customFormat="1" ht="13.5" customHeight="1">
      <c r="A35" s="146">
        <v>20</v>
      </c>
      <c r="B35" s="147" t="s">
        <v>1228</v>
      </c>
      <c r="C35" s="147" t="s">
        <v>1229</v>
      </c>
      <c r="D35" s="147" t="s">
        <v>52</v>
      </c>
      <c r="E35" s="148">
        <v>2</v>
      </c>
      <c r="F35" s="149"/>
      <c r="G35" s="149">
        <f t="shared" si="2"/>
        <v>0</v>
      </c>
      <c r="H35" s="148">
        <v>0</v>
      </c>
    </row>
    <row r="36" spans="1:8" s="119" customFormat="1" ht="13.5" customHeight="1">
      <c r="A36" s="146">
        <v>21</v>
      </c>
      <c r="B36" s="147" t="s">
        <v>1230</v>
      </c>
      <c r="C36" s="147" t="s">
        <v>1231</v>
      </c>
      <c r="D36" s="147" t="s">
        <v>52</v>
      </c>
      <c r="E36" s="148">
        <v>1</v>
      </c>
      <c r="F36" s="149"/>
      <c r="G36" s="149">
        <f t="shared" si="2"/>
        <v>0</v>
      </c>
      <c r="H36" s="148">
        <v>0</v>
      </c>
    </row>
    <row r="37" spans="1:8" s="119" customFormat="1" ht="13.5" customHeight="1">
      <c r="A37" s="146">
        <v>22</v>
      </c>
      <c r="B37" s="147" t="s">
        <v>1232</v>
      </c>
      <c r="C37" s="147" t="s">
        <v>1233</v>
      </c>
      <c r="D37" s="147" t="s">
        <v>52</v>
      </c>
      <c r="E37" s="148">
        <v>1</v>
      </c>
      <c r="F37" s="149"/>
      <c r="G37" s="149">
        <f t="shared" si="2"/>
        <v>0</v>
      </c>
      <c r="H37" s="148">
        <v>0</v>
      </c>
    </row>
    <row r="38" spans="1:8" s="119" customFormat="1" ht="24" customHeight="1">
      <c r="A38" s="146">
        <v>23</v>
      </c>
      <c r="B38" s="147" t="s">
        <v>1234</v>
      </c>
      <c r="C38" s="147" t="s">
        <v>1235</v>
      </c>
      <c r="D38" s="147" t="s">
        <v>52</v>
      </c>
      <c r="E38" s="148">
        <v>1</v>
      </c>
      <c r="F38" s="149"/>
      <c r="G38" s="149">
        <f t="shared" si="2"/>
        <v>0</v>
      </c>
      <c r="H38" s="148">
        <v>0</v>
      </c>
    </row>
    <row r="39" spans="1:8" s="119" customFormat="1" ht="24" customHeight="1">
      <c r="A39" s="146">
        <v>24</v>
      </c>
      <c r="B39" s="147" t="s">
        <v>1236</v>
      </c>
      <c r="C39" s="147" t="s">
        <v>1237</v>
      </c>
      <c r="D39" s="147" t="s">
        <v>52</v>
      </c>
      <c r="E39" s="148">
        <v>1</v>
      </c>
      <c r="F39" s="149"/>
      <c r="G39" s="149">
        <f t="shared" si="2"/>
        <v>0</v>
      </c>
      <c r="H39" s="148">
        <v>0</v>
      </c>
    </row>
    <row r="40" spans="1:8" s="119" customFormat="1" ht="24" customHeight="1">
      <c r="A40" s="146">
        <v>25</v>
      </c>
      <c r="B40" s="147" t="s">
        <v>1238</v>
      </c>
      <c r="C40" s="147" t="s">
        <v>1239</v>
      </c>
      <c r="D40" s="147" t="s">
        <v>52</v>
      </c>
      <c r="E40" s="148">
        <v>1</v>
      </c>
      <c r="F40" s="149"/>
      <c r="G40" s="149">
        <f t="shared" si="2"/>
        <v>0</v>
      </c>
      <c r="H40" s="148">
        <v>0</v>
      </c>
    </row>
    <row r="41" spans="1:8" s="119" customFormat="1" ht="13.5" customHeight="1">
      <c r="A41" s="142">
        <v>26</v>
      </c>
      <c r="B41" s="143" t="s">
        <v>1240</v>
      </c>
      <c r="C41" s="143" t="s">
        <v>1241</v>
      </c>
      <c r="D41" s="143" t="s">
        <v>52</v>
      </c>
      <c r="E41" s="144">
        <v>1</v>
      </c>
      <c r="F41" s="145"/>
      <c r="G41" s="145">
        <f>E41*F41</f>
        <v>0</v>
      </c>
      <c r="H41" s="144">
        <v>0</v>
      </c>
    </row>
    <row r="42" spans="1:8" s="119" customFormat="1" ht="13.5" customHeight="1">
      <c r="A42" s="142">
        <v>27</v>
      </c>
      <c r="B42" s="143" t="s">
        <v>1242</v>
      </c>
      <c r="C42" s="143" t="s">
        <v>1243</v>
      </c>
      <c r="D42" s="143" t="s">
        <v>52</v>
      </c>
      <c r="E42" s="144">
        <v>1</v>
      </c>
      <c r="F42" s="145"/>
      <c r="G42" s="145">
        <f t="shared" ref="G42:G47" si="3">E42*F42</f>
        <v>0</v>
      </c>
      <c r="H42" s="144">
        <v>0</v>
      </c>
    </row>
    <row r="43" spans="1:8" s="119" customFormat="1" ht="13.5" customHeight="1">
      <c r="A43" s="142">
        <v>28</v>
      </c>
      <c r="B43" s="143" t="s">
        <v>1244</v>
      </c>
      <c r="C43" s="143" t="s">
        <v>1245</v>
      </c>
      <c r="D43" s="143" t="s">
        <v>52</v>
      </c>
      <c r="E43" s="144">
        <v>1</v>
      </c>
      <c r="F43" s="145"/>
      <c r="G43" s="145">
        <f t="shared" si="3"/>
        <v>0</v>
      </c>
      <c r="H43" s="144">
        <v>0</v>
      </c>
    </row>
    <row r="44" spans="1:8" s="119" customFormat="1" ht="13.5" customHeight="1">
      <c r="A44" s="142">
        <v>29</v>
      </c>
      <c r="B44" s="143" t="s">
        <v>1246</v>
      </c>
      <c r="C44" s="143" t="s">
        <v>1247</v>
      </c>
      <c r="D44" s="143" t="s">
        <v>52</v>
      </c>
      <c r="E44" s="144">
        <v>1</v>
      </c>
      <c r="F44" s="145"/>
      <c r="G44" s="145">
        <f t="shared" si="3"/>
        <v>0</v>
      </c>
      <c r="H44" s="144">
        <v>0</v>
      </c>
    </row>
    <row r="45" spans="1:8" s="119" customFormat="1" ht="13.5" customHeight="1">
      <c r="A45" s="142">
        <v>30</v>
      </c>
      <c r="B45" s="143" t="s">
        <v>1248</v>
      </c>
      <c r="C45" s="143" t="s">
        <v>1249</v>
      </c>
      <c r="D45" s="143" t="s">
        <v>52</v>
      </c>
      <c r="E45" s="144">
        <v>1</v>
      </c>
      <c r="F45" s="145"/>
      <c r="G45" s="145">
        <f t="shared" si="3"/>
        <v>0</v>
      </c>
      <c r="H45" s="144">
        <v>0</v>
      </c>
    </row>
    <row r="46" spans="1:8" s="119" customFormat="1" ht="13.5" customHeight="1">
      <c r="A46" s="142">
        <v>31</v>
      </c>
      <c r="B46" s="143" t="s">
        <v>1250</v>
      </c>
      <c r="C46" s="143" t="s">
        <v>1251</v>
      </c>
      <c r="D46" s="143" t="s">
        <v>52</v>
      </c>
      <c r="E46" s="144">
        <v>1</v>
      </c>
      <c r="F46" s="145"/>
      <c r="G46" s="145">
        <f t="shared" si="3"/>
        <v>0</v>
      </c>
      <c r="H46" s="144">
        <v>0</v>
      </c>
    </row>
    <row r="47" spans="1:8" s="119" customFormat="1" ht="13.5" customHeight="1">
      <c r="A47" s="142">
        <v>32</v>
      </c>
      <c r="B47" s="143" t="s">
        <v>1252</v>
      </c>
      <c r="C47" s="143" t="s">
        <v>1253</v>
      </c>
      <c r="D47" s="143" t="s">
        <v>1198</v>
      </c>
      <c r="E47" s="144">
        <v>2054.9899999999998</v>
      </c>
      <c r="F47" s="145"/>
      <c r="G47" s="145">
        <f t="shared" si="3"/>
        <v>0</v>
      </c>
      <c r="H47" s="144">
        <v>0</v>
      </c>
    </row>
    <row r="48" spans="1:8" s="119" customFormat="1" ht="28.5" customHeight="1">
      <c r="A48" s="138"/>
      <c r="B48" s="139" t="s">
        <v>1254</v>
      </c>
      <c r="C48" s="139" t="s">
        <v>1255</v>
      </c>
      <c r="D48" s="139"/>
      <c r="E48" s="140"/>
      <c r="F48" s="141"/>
      <c r="G48" s="141">
        <f>SUM(G49:G51)</f>
        <v>0</v>
      </c>
      <c r="H48" s="140">
        <v>1.6639999999999999E-2</v>
      </c>
    </row>
    <row r="49" spans="1:8" s="119" customFormat="1" ht="24" customHeight="1">
      <c r="A49" s="142">
        <v>33</v>
      </c>
      <c r="B49" s="143" t="s">
        <v>1256</v>
      </c>
      <c r="C49" s="143" t="s">
        <v>1257</v>
      </c>
      <c r="D49" s="143" t="s">
        <v>958</v>
      </c>
      <c r="E49" s="144">
        <v>3</v>
      </c>
      <c r="F49" s="145"/>
      <c r="G49" s="145">
        <f>E49*F49</f>
        <v>0</v>
      </c>
      <c r="H49" s="144">
        <v>1.248E-2</v>
      </c>
    </row>
    <row r="50" spans="1:8" s="119" customFormat="1" ht="24" customHeight="1">
      <c r="A50" s="142">
        <v>34</v>
      </c>
      <c r="B50" s="143" t="s">
        <v>1258</v>
      </c>
      <c r="C50" s="143" t="s">
        <v>1259</v>
      </c>
      <c r="D50" s="143" t="s">
        <v>958</v>
      </c>
      <c r="E50" s="144">
        <v>1</v>
      </c>
      <c r="F50" s="145"/>
      <c r="G50" s="145">
        <f t="shared" ref="G50:G51" si="4">E50*F50</f>
        <v>0</v>
      </c>
      <c r="H50" s="144">
        <v>4.1599999999999996E-3</v>
      </c>
    </row>
    <row r="51" spans="1:8" s="119" customFormat="1" ht="13.5" customHeight="1">
      <c r="A51" s="142">
        <v>35</v>
      </c>
      <c r="B51" s="143" t="s">
        <v>1260</v>
      </c>
      <c r="C51" s="143" t="s">
        <v>1261</v>
      </c>
      <c r="D51" s="143" t="s">
        <v>1198</v>
      </c>
      <c r="E51" s="144">
        <v>329</v>
      </c>
      <c r="F51" s="145"/>
      <c r="G51" s="145">
        <f t="shared" si="4"/>
        <v>0</v>
      </c>
      <c r="H51" s="144">
        <v>0</v>
      </c>
    </row>
    <row r="52" spans="1:8" s="119" customFormat="1" ht="28.5" customHeight="1">
      <c r="A52" s="138"/>
      <c r="B52" s="139" t="s">
        <v>1262</v>
      </c>
      <c r="C52" s="139" t="s">
        <v>1263</v>
      </c>
      <c r="D52" s="139"/>
      <c r="E52" s="140"/>
      <c r="F52" s="141"/>
      <c r="G52" s="141">
        <f>SUM(G53:G58)</f>
        <v>0</v>
      </c>
      <c r="H52" s="140">
        <v>0.26169999999999999</v>
      </c>
    </row>
    <row r="53" spans="1:8" s="119" customFormat="1" ht="13.5" customHeight="1">
      <c r="A53" s="142">
        <v>36</v>
      </c>
      <c r="B53" s="143" t="s">
        <v>1264</v>
      </c>
      <c r="C53" s="143" t="s">
        <v>1265</v>
      </c>
      <c r="D53" s="143" t="s">
        <v>62</v>
      </c>
      <c r="E53" s="144">
        <v>192</v>
      </c>
      <c r="F53" s="145"/>
      <c r="G53" s="145">
        <f>E53*F53</f>
        <v>0</v>
      </c>
      <c r="H53" s="144">
        <v>8.6400000000000005E-2</v>
      </c>
    </row>
    <row r="54" spans="1:8" s="119" customFormat="1" ht="13.5" customHeight="1">
      <c r="A54" s="142">
        <v>37</v>
      </c>
      <c r="B54" s="143" t="s">
        <v>1266</v>
      </c>
      <c r="C54" s="143" t="s">
        <v>1267</v>
      </c>
      <c r="D54" s="143" t="s">
        <v>62</v>
      </c>
      <c r="E54" s="144">
        <v>82</v>
      </c>
      <c r="F54" s="145"/>
      <c r="G54" s="145">
        <f t="shared" ref="G54:G58" si="5">E54*F54</f>
        <v>0</v>
      </c>
      <c r="H54" s="144">
        <v>5.74E-2</v>
      </c>
    </row>
    <row r="55" spans="1:8" s="119" customFormat="1" ht="13.5" customHeight="1">
      <c r="A55" s="142">
        <v>38</v>
      </c>
      <c r="B55" s="143" t="s">
        <v>1268</v>
      </c>
      <c r="C55" s="143" t="s">
        <v>1269</v>
      </c>
      <c r="D55" s="143" t="s">
        <v>62</v>
      </c>
      <c r="E55" s="144">
        <v>0</v>
      </c>
      <c r="F55" s="145"/>
      <c r="G55" s="145">
        <f t="shared" si="5"/>
        <v>0</v>
      </c>
      <c r="H55" s="144">
        <v>9.1079999999999994E-2</v>
      </c>
    </row>
    <row r="56" spans="1:8" s="119" customFormat="1" ht="13.5" customHeight="1">
      <c r="A56" s="142">
        <v>39</v>
      </c>
      <c r="B56" s="143" t="s">
        <v>1270</v>
      </c>
      <c r="C56" s="143" t="s">
        <v>1271</v>
      </c>
      <c r="D56" s="143" t="s">
        <v>62</v>
      </c>
      <c r="E56" s="144">
        <v>0</v>
      </c>
      <c r="F56" s="145"/>
      <c r="G56" s="145">
        <f t="shared" si="5"/>
        <v>0</v>
      </c>
      <c r="H56" s="144">
        <v>2.682E-2</v>
      </c>
    </row>
    <row r="57" spans="1:8" s="119" customFormat="1" ht="13.5" customHeight="1">
      <c r="A57" s="142">
        <v>40</v>
      </c>
      <c r="B57" s="143" t="s">
        <v>1272</v>
      </c>
      <c r="C57" s="143" t="s">
        <v>1273</v>
      </c>
      <c r="D57" s="143" t="s">
        <v>62</v>
      </c>
      <c r="E57" s="144">
        <v>274</v>
      </c>
      <c r="F57" s="145"/>
      <c r="G57" s="145">
        <f t="shared" si="5"/>
        <v>0</v>
      </c>
      <c r="H57" s="144">
        <v>0</v>
      </c>
    </row>
    <row r="58" spans="1:8" s="119" customFormat="1" ht="13.5" customHeight="1">
      <c r="A58" s="142">
        <v>41</v>
      </c>
      <c r="B58" s="143" t="s">
        <v>1274</v>
      </c>
      <c r="C58" s="143" t="s">
        <v>1275</v>
      </c>
      <c r="D58" s="143" t="s">
        <v>1198</v>
      </c>
      <c r="E58" s="144">
        <v>748</v>
      </c>
      <c r="F58" s="145"/>
      <c r="G58" s="145">
        <f t="shared" si="5"/>
        <v>0</v>
      </c>
      <c r="H58" s="144">
        <v>0</v>
      </c>
    </row>
    <row r="59" spans="1:8" s="119" customFormat="1" ht="28.5" customHeight="1">
      <c r="A59" s="138"/>
      <c r="B59" s="139" t="s">
        <v>1276</v>
      </c>
      <c r="C59" s="139" t="s">
        <v>1277</v>
      </c>
      <c r="D59" s="139"/>
      <c r="E59" s="140"/>
      <c r="F59" s="141"/>
      <c r="G59" s="141">
        <f>SUM(G60:G81)</f>
        <v>0</v>
      </c>
      <c r="H59" s="140">
        <v>3.074E-2</v>
      </c>
    </row>
    <row r="60" spans="1:8" s="119" customFormat="1" ht="13.5" customHeight="1">
      <c r="A60" s="142">
        <v>42</v>
      </c>
      <c r="B60" s="143" t="s">
        <v>1278</v>
      </c>
      <c r="C60" s="143" t="s">
        <v>1279</v>
      </c>
      <c r="D60" s="143" t="s">
        <v>52</v>
      </c>
      <c r="E60" s="144">
        <v>28</v>
      </c>
      <c r="F60" s="145"/>
      <c r="G60" s="145">
        <f>E60*F60</f>
        <v>0</v>
      </c>
      <c r="H60" s="144">
        <v>0</v>
      </c>
    </row>
    <row r="61" spans="1:8" s="119" customFormat="1" ht="24" customHeight="1">
      <c r="A61" s="146">
        <v>43</v>
      </c>
      <c r="B61" s="147" t="s">
        <v>1280</v>
      </c>
      <c r="C61" s="147" t="s">
        <v>1281</v>
      </c>
      <c r="D61" s="147" t="s">
        <v>52</v>
      </c>
      <c r="E61" s="148">
        <v>28</v>
      </c>
      <c r="F61" s="149"/>
      <c r="G61" s="149">
        <f>E61*F61</f>
        <v>0</v>
      </c>
      <c r="H61" s="148">
        <v>0</v>
      </c>
    </row>
    <row r="62" spans="1:8" s="119" customFormat="1" ht="13.5" customHeight="1">
      <c r="A62" s="146">
        <v>44</v>
      </c>
      <c r="B62" s="147" t="s">
        <v>1282</v>
      </c>
      <c r="C62" s="147" t="s">
        <v>1283</v>
      </c>
      <c r="D62" s="147" t="s">
        <v>52</v>
      </c>
      <c r="E62" s="148">
        <v>28</v>
      </c>
      <c r="F62" s="149"/>
      <c r="G62" s="149">
        <f t="shared" ref="G62:G63" si="6">E62*F62</f>
        <v>0</v>
      </c>
      <c r="H62" s="148">
        <v>0</v>
      </c>
    </row>
    <row r="63" spans="1:8" s="119" customFormat="1" ht="13.5" customHeight="1">
      <c r="A63" s="146">
        <v>45</v>
      </c>
      <c r="B63" s="147" t="s">
        <v>1284</v>
      </c>
      <c r="C63" s="147" t="s">
        <v>1285</v>
      </c>
      <c r="D63" s="147" t="s">
        <v>52</v>
      </c>
      <c r="E63" s="148">
        <v>56</v>
      </c>
      <c r="F63" s="149"/>
      <c r="G63" s="149">
        <f t="shared" si="6"/>
        <v>0</v>
      </c>
      <c r="H63" s="148">
        <v>0</v>
      </c>
    </row>
    <row r="64" spans="1:8" s="119" customFormat="1" ht="13.5" customHeight="1">
      <c r="A64" s="142">
        <v>46</v>
      </c>
      <c r="B64" s="143" t="s">
        <v>1286</v>
      </c>
      <c r="C64" s="143" t="s">
        <v>1287</v>
      </c>
      <c r="D64" s="143" t="s">
        <v>792</v>
      </c>
      <c r="E64" s="144">
        <v>1</v>
      </c>
      <c r="F64" s="145"/>
      <c r="G64" s="145">
        <f>E64*F64</f>
        <v>0</v>
      </c>
      <c r="H64" s="144">
        <v>0</v>
      </c>
    </row>
    <row r="65" spans="1:8" s="119" customFormat="1" ht="24" customHeight="1">
      <c r="A65" s="146">
        <v>47</v>
      </c>
      <c r="B65" s="147" t="s">
        <v>1288</v>
      </c>
      <c r="C65" s="147" t="s">
        <v>1289</v>
      </c>
      <c r="D65" s="147" t="s">
        <v>52</v>
      </c>
      <c r="E65" s="148">
        <v>1</v>
      </c>
      <c r="F65" s="149"/>
      <c r="G65" s="149">
        <f>E65*F65</f>
        <v>0</v>
      </c>
      <c r="H65" s="148">
        <v>0</v>
      </c>
    </row>
    <row r="66" spans="1:8" s="119" customFormat="1" ht="13.5" customHeight="1">
      <c r="A66" s="142">
        <v>48</v>
      </c>
      <c r="B66" s="143" t="s">
        <v>1290</v>
      </c>
      <c r="C66" s="143" t="s">
        <v>1291</v>
      </c>
      <c r="D66" s="143" t="s">
        <v>52</v>
      </c>
      <c r="E66" s="144">
        <v>3</v>
      </c>
      <c r="F66" s="145"/>
      <c r="G66" s="145">
        <f>E66*F66</f>
        <v>0</v>
      </c>
      <c r="H66" s="144">
        <v>2.9999999999999997E-4</v>
      </c>
    </row>
    <row r="67" spans="1:8" s="119" customFormat="1" ht="24" customHeight="1">
      <c r="A67" s="142">
        <v>49</v>
      </c>
      <c r="B67" s="143" t="s">
        <v>1292</v>
      </c>
      <c r="C67" s="143" t="s">
        <v>1293</v>
      </c>
      <c r="D67" s="143" t="s">
        <v>52</v>
      </c>
      <c r="E67" s="144">
        <v>2</v>
      </c>
      <c r="F67" s="145"/>
      <c r="G67" s="145">
        <f t="shared" ref="G67:G81" si="7">E67*F67</f>
        <v>0</v>
      </c>
      <c r="H67" s="144">
        <v>5.4000000000000001E-4</v>
      </c>
    </row>
    <row r="68" spans="1:8" s="119" customFormat="1" ht="13.5" customHeight="1">
      <c r="A68" s="142">
        <v>50</v>
      </c>
      <c r="B68" s="143" t="s">
        <v>1294</v>
      </c>
      <c r="C68" s="143" t="s">
        <v>1295</v>
      </c>
      <c r="D68" s="143" t="s">
        <v>52</v>
      </c>
      <c r="E68" s="144">
        <v>2</v>
      </c>
      <c r="F68" s="145"/>
      <c r="G68" s="145">
        <f t="shared" si="7"/>
        <v>0</v>
      </c>
      <c r="H68" s="144">
        <v>5.4000000000000001E-4</v>
      </c>
    </row>
    <row r="69" spans="1:8" s="119" customFormat="1" ht="13.5" customHeight="1">
      <c r="A69" s="142">
        <v>51</v>
      </c>
      <c r="B69" s="143" t="s">
        <v>1296</v>
      </c>
      <c r="C69" s="143" t="s">
        <v>1297</v>
      </c>
      <c r="D69" s="143" t="s">
        <v>52</v>
      </c>
      <c r="E69" s="144">
        <v>1</v>
      </c>
      <c r="F69" s="145"/>
      <c r="G69" s="145">
        <f t="shared" si="7"/>
        <v>0</v>
      </c>
      <c r="H69" s="144">
        <v>2.5000000000000001E-4</v>
      </c>
    </row>
    <row r="70" spans="1:8" s="119" customFormat="1" ht="13.5" customHeight="1">
      <c r="A70" s="142">
        <v>52</v>
      </c>
      <c r="B70" s="143" t="s">
        <v>1298</v>
      </c>
      <c r="C70" s="143" t="s">
        <v>1299</v>
      </c>
      <c r="D70" s="143" t="s">
        <v>52</v>
      </c>
      <c r="E70" s="144">
        <v>1</v>
      </c>
      <c r="F70" s="145"/>
      <c r="G70" s="145">
        <f t="shared" si="7"/>
        <v>0</v>
      </c>
      <c r="H70" s="144">
        <v>7.2999999999999996E-4</v>
      </c>
    </row>
    <row r="71" spans="1:8" s="119" customFormat="1" ht="24" customHeight="1">
      <c r="A71" s="142">
        <v>53</v>
      </c>
      <c r="B71" s="143" t="s">
        <v>1300</v>
      </c>
      <c r="C71" s="143" t="s">
        <v>1301</v>
      </c>
      <c r="D71" s="143" t="s">
        <v>52</v>
      </c>
      <c r="E71" s="144">
        <v>12</v>
      </c>
      <c r="F71" s="145"/>
      <c r="G71" s="145">
        <f t="shared" si="7"/>
        <v>0</v>
      </c>
      <c r="H71" s="144">
        <v>5.64E-3</v>
      </c>
    </row>
    <row r="72" spans="1:8" s="119" customFormat="1" ht="13.5" customHeight="1">
      <c r="A72" s="142">
        <v>54</v>
      </c>
      <c r="B72" s="143" t="s">
        <v>1302</v>
      </c>
      <c r="C72" s="143" t="s">
        <v>1303</v>
      </c>
      <c r="D72" s="143" t="s">
        <v>52</v>
      </c>
      <c r="E72" s="144">
        <v>3</v>
      </c>
      <c r="F72" s="145"/>
      <c r="G72" s="145">
        <f t="shared" si="7"/>
        <v>0</v>
      </c>
      <c r="H72" s="144">
        <v>9.8999999999999999E-4</v>
      </c>
    </row>
    <row r="73" spans="1:8" s="119" customFormat="1" ht="13.5" customHeight="1">
      <c r="A73" s="142">
        <v>55</v>
      </c>
      <c r="B73" s="143" t="s">
        <v>1304</v>
      </c>
      <c r="C73" s="143" t="s">
        <v>1305</v>
      </c>
      <c r="D73" s="143" t="s">
        <v>52</v>
      </c>
      <c r="E73" s="144">
        <v>2</v>
      </c>
      <c r="F73" s="145"/>
      <c r="G73" s="145">
        <f t="shared" si="7"/>
        <v>0</v>
      </c>
      <c r="H73" s="144">
        <v>1.14E-3</v>
      </c>
    </row>
    <row r="74" spans="1:8" s="119" customFormat="1" ht="13.5" customHeight="1">
      <c r="A74" s="142">
        <v>56</v>
      </c>
      <c r="B74" s="143" t="s">
        <v>1306</v>
      </c>
      <c r="C74" s="143" t="s">
        <v>1307</v>
      </c>
      <c r="D74" s="143" t="s">
        <v>52</v>
      </c>
      <c r="E74" s="144">
        <v>5</v>
      </c>
      <c r="F74" s="145"/>
      <c r="G74" s="145">
        <f t="shared" si="7"/>
        <v>0</v>
      </c>
      <c r="H74" s="144">
        <v>8.0000000000000004E-4</v>
      </c>
    </row>
    <row r="75" spans="1:8" s="119" customFormat="1" ht="13.5" customHeight="1">
      <c r="A75" s="142">
        <v>57</v>
      </c>
      <c r="B75" s="143" t="s">
        <v>1308</v>
      </c>
      <c r="C75" s="143" t="s">
        <v>1309</v>
      </c>
      <c r="D75" s="143" t="s">
        <v>52</v>
      </c>
      <c r="E75" s="144">
        <v>0</v>
      </c>
      <c r="F75" s="145"/>
      <c r="G75" s="145">
        <f t="shared" si="7"/>
        <v>0</v>
      </c>
      <c r="H75" s="144">
        <v>3.7399999999999998E-3</v>
      </c>
    </row>
    <row r="76" spans="1:8" s="119" customFormat="1" ht="13.5" customHeight="1">
      <c r="A76" s="142">
        <v>58</v>
      </c>
      <c r="B76" s="143" t="s">
        <v>1310</v>
      </c>
      <c r="C76" s="143" t="s">
        <v>1311</v>
      </c>
      <c r="D76" s="143" t="s">
        <v>52</v>
      </c>
      <c r="E76" s="144">
        <v>9</v>
      </c>
      <c r="F76" s="145"/>
      <c r="G76" s="145">
        <f t="shared" si="7"/>
        <v>0</v>
      </c>
      <c r="H76" s="144">
        <v>4.4999999999999997E-3</v>
      </c>
    </row>
    <row r="77" spans="1:8" s="119" customFormat="1" ht="13.5" customHeight="1">
      <c r="A77" s="142">
        <v>59</v>
      </c>
      <c r="B77" s="143" t="s">
        <v>1312</v>
      </c>
      <c r="C77" s="143" t="s">
        <v>1313</v>
      </c>
      <c r="D77" s="143" t="s">
        <v>52</v>
      </c>
      <c r="E77" s="144">
        <v>0</v>
      </c>
      <c r="F77" s="145"/>
      <c r="G77" s="145">
        <f t="shared" si="7"/>
        <v>0</v>
      </c>
      <c r="H77" s="144">
        <v>1.65E-3</v>
      </c>
    </row>
    <row r="78" spans="1:8" s="119" customFormat="1" ht="13.5" customHeight="1">
      <c r="A78" s="142">
        <v>60</v>
      </c>
      <c r="B78" s="143" t="s">
        <v>1314</v>
      </c>
      <c r="C78" s="143" t="s">
        <v>1315</v>
      </c>
      <c r="D78" s="143" t="s">
        <v>52</v>
      </c>
      <c r="E78" s="144">
        <v>2</v>
      </c>
      <c r="F78" s="145"/>
      <c r="G78" s="145">
        <f t="shared" si="7"/>
        <v>0</v>
      </c>
      <c r="H78" s="144">
        <v>3.3E-3</v>
      </c>
    </row>
    <row r="79" spans="1:8" s="119" customFormat="1" ht="24" customHeight="1">
      <c r="A79" s="142">
        <v>61</v>
      </c>
      <c r="B79" s="143" t="s">
        <v>1316</v>
      </c>
      <c r="C79" s="143" t="s">
        <v>1317</v>
      </c>
      <c r="D79" s="143" t="s">
        <v>52</v>
      </c>
      <c r="E79" s="144">
        <v>6</v>
      </c>
      <c r="F79" s="145"/>
      <c r="G79" s="145">
        <f t="shared" si="7"/>
        <v>0</v>
      </c>
      <c r="H79" s="144">
        <v>4.2399999999999998E-3</v>
      </c>
    </row>
    <row r="80" spans="1:8" s="119" customFormat="1" ht="24" customHeight="1">
      <c r="A80" s="142">
        <v>62</v>
      </c>
      <c r="B80" s="143" t="s">
        <v>1318</v>
      </c>
      <c r="C80" s="143" t="s">
        <v>1319</v>
      </c>
      <c r="D80" s="143" t="s">
        <v>52</v>
      </c>
      <c r="E80" s="144">
        <v>1</v>
      </c>
      <c r="F80" s="145"/>
      <c r="G80" s="145">
        <f t="shared" si="7"/>
        <v>0</v>
      </c>
      <c r="H80" s="144">
        <v>2.3800000000000002E-3</v>
      </c>
    </row>
    <row r="81" spans="1:8" s="119" customFormat="1" ht="13.5" customHeight="1">
      <c r="A81" s="142">
        <v>63</v>
      </c>
      <c r="B81" s="143" t="s">
        <v>1320</v>
      </c>
      <c r="C81" s="143" t="s">
        <v>1321</v>
      </c>
      <c r="D81" s="143" t="s">
        <v>1198</v>
      </c>
      <c r="E81" s="144">
        <v>923.22500000000002</v>
      </c>
      <c r="F81" s="145"/>
      <c r="G81" s="145">
        <f t="shared" si="7"/>
        <v>0</v>
      </c>
      <c r="H81" s="144">
        <v>0</v>
      </c>
    </row>
    <row r="82" spans="1:8" s="119" customFormat="1" ht="28.5" customHeight="1">
      <c r="A82" s="138"/>
      <c r="B82" s="139" t="s">
        <v>1322</v>
      </c>
      <c r="C82" s="139" t="s">
        <v>1323</v>
      </c>
      <c r="D82" s="139"/>
      <c r="E82" s="140"/>
      <c r="F82" s="141"/>
      <c r="G82" s="141">
        <f>SUM(G83:G94)</f>
        <v>0</v>
      </c>
      <c r="H82" s="140">
        <v>9.0300000000000005E-2</v>
      </c>
    </row>
    <row r="83" spans="1:8" s="119" customFormat="1" ht="24" customHeight="1">
      <c r="A83" s="142">
        <v>64</v>
      </c>
      <c r="B83" s="143" t="s">
        <v>1324</v>
      </c>
      <c r="C83" s="143" t="s">
        <v>1325</v>
      </c>
      <c r="D83" s="143" t="s">
        <v>52</v>
      </c>
      <c r="E83" s="144">
        <v>28</v>
      </c>
      <c r="F83" s="145"/>
      <c r="G83" s="145">
        <f>E83*F83</f>
        <v>0</v>
      </c>
      <c r="H83" s="144">
        <v>0</v>
      </c>
    </row>
    <row r="84" spans="1:8" s="119" customFormat="1" ht="24" customHeight="1">
      <c r="A84" s="142">
        <v>65</v>
      </c>
      <c r="B84" s="143" t="s">
        <v>1326</v>
      </c>
      <c r="C84" s="143" t="s">
        <v>1327</v>
      </c>
      <c r="D84" s="143" t="s">
        <v>958</v>
      </c>
      <c r="E84" s="144">
        <v>28</v>
      </c>
      <c r="F84" s="145"/>
      <c r="G84" s="145">
        <f t="shared" ref="G84:G85" si="8">E84*F84</f>
        <v>0</v>
      </c>
      <c r="H84" s="144">
        <v>9.0300000000000005E-2</v>
      </c>
    </row>
    <row r="85" spans="1:8" s="119" customFormat="1" ht="13.5" customHeight="1">
      <c r="A85" s="142">
        <v>66</v>
      </c>
      <c r="B85" s="143" t="s">
        <v>1328</v>
      </c>
      <c r="C85" s="143" t="s">
        <v>1329</v>
      </c>
      <c r="D85" s="143" t="s">
        <v>52</v>
      </c>
      <c r="E85" s="144">
        <v>28</v>
      </c>
      <c r="F85" s="145"/>
      <c r="G85" s="145">
        <f t="shared" si="8"/>
        <v>0</v>
      </c>
      <c r="H85" s="144">
        <v>0</v>
      </c>
    </row>
    <row r="86" spans="1:8" s="119" customFormat="1" ht="13.5" customHeight="1">
      <c r="A86" s="146">
        <v>67</v>
      </c>
      <c r="B86" s="147" t="s">
        <v>1330</v>
      </c>
      <c r="C86" s="312" t="s">
        <v>1745</v>
      </c>
      <c r="D86" s="147" t="s">
        <v>52</v>
      </c>
      <c r="E86" s="148">
        <v>0</v>
      </c>
      <c r="F86" s="149"/>
      <c r="G86" s="149">
        <f>E86*F86</f>
        <v>0</v>
      </c>
      <c r="H86" s="148">
        <v>0</v>
      </c>
    </row>
    <row r="87" spans="1:8" s="119" customFormat="1" ht="13.5" customHeight="1">
      <c r="A87" s="146">
        <v>68</v>
      </c>
      <c r="B87" s="147" t="s">
        <v>1331</v>
      </c>
      <c r="C87" s="312" t="s">
        <v>1746</v>
      </c>
      <c r="D87" s="147" t="s">
        <v>52</v>
      </c>
      <c r="E87" s="148">
        <v>5</v>
      </c>
      <c r="F87" s="149"/>
      <c r="G87" s="149">
        <f t="shared" ref="G87:G94" si="9">E87*F87</f>
        <v>0</v>
      </c>
      <c r="H87" s="148">
        <v>0</v>
      </c>
    </row>
    <row r="88" spans="1:8" s="119" customFormat="1" ht="13.5" customHeight="1">
      <c r="A88" s="146">
        <v>69</v>
      </c>
      <c r="B88" s="147" t="s">
        <v>1332</v>
      </c>
      <c r="C88" s="312" t="s">
        <v>1747</v>
      </c>
      <c r="D88" s="147" t="s">
        <v>52</v>
      </c>
      <c r="E88" s="148">
        <v>1</v>
      </c>
      <c r="F88" s="149"/>
      <c r="G88" s="149">
        <f t="shared" si="9"/>
        <v>0</v>
      </c>
      <c r="H88" s="148">
        <v>0</v>
      </c>
    </row>
    <row r="89" spans="1:8" s="119" customFormat="1" ht="13.5" customHeight="1">
      <c r="A89" s="146">
        <v>70</v>
      </c>
      <c r="B89" s="147" t="s">
        <v>1333</v>
      </c>
      <c r="C89" s="312" t="s">
        <v>1748</v>
      </c>
      <c r="D89" s="147" t="s">
        <v>52</v>
      </c>
      <c r="E89" s="148">
        <v>18</v>
      </c>
      <c r="F89" s="149"/>
      <c r="G89" s="149">
        <f t="shared" si="9"/>
        <v>0</v>
      </c>
      <c r="H89" s="148">
        <v>0</v>
      </c>
    </row>
    <row r="90" spans="1:8" s="119" customFormat="1" ht="13.5" customHeight="1">
      <c r="A90" s="146">
        <v>71</v>
      </c>
      <c r="B90" s="147" t="s">
        <v>1334</v>
      </c>
      <c r="C90" s="312" t="s">
        <v>1749</v>
      </c>
      <c r="D90" s="147" t="s">
        <v>52</v>
      </c>
      <c r="E90" s="148">
        <v>2</v>
      </c>
      <c r="F90" s="149"/>
      <c r="G90" s="149">
        <f t="shared" si="9"/>
        <v>0</v>
      </c>
      <c r="H90" s="148">
        <v>0</v>
      </c>
    </row>
    <row r="91" spans="1:8" s="119" customFormat="1" ht="13.5" customHeight="1">
      <c r="A91" s="146">
        <v>72</v>
      </c>
      <c r="B91" s="147" t="s">
        <v>1335</v>
      </c>
      <c r="C91" s="312" t="s">
        <v>1750</v>
      </c>
      <c r="D91" s="147" t="s">
        <v>52</v>
      </c>
      <c r="E91" s="148">
        <v>1</v>
      </c>
      <c r="F91" s="149"/>
      <c r="G91" s="149">
        <f t="shared" si="9"/>
        <v>0</v>
      </c>
      <c r="H91" s="148">
        <v>0</v>
      </c>
    </row>
    <row r="92" spans="1:8" s="119" customFormat="1" ht="13.5" customHeight="1">
      <c r="A92" s="146">
        <v>73</v>
      </c>
      <c r="B92" s="147" t="s">
        <v>1336</v>
      </c>
      <c r="C92" s="312" t="s">
        <v>1751</v>
      </c>
      <c r="D92" s="147" t="s">
        <v>52</v>
      </c>
      <c r="E92" s="148">
        <v>1</v>
      </c>
      <c r="F92" s="149"/>
      <c r="G92" s="149">
        <f t="shared" si="9"/>
        <v>0</v>
      </c>
      <c r="H92" s="148">
        <v>0</v>
      </c>
    </row>
    <row r="93" spans="1:8" s="119" customFormat="1" ht="13.5" customHeight="1">
      <c r="A93" s="146">
        <v>74</v>
      </c>
      <c r="B93" s="147" t="s">
        <v>1337</v>
      </c>
      <c r="C93" s="147" t="s">
        <v>1338</v>
      </c>
      <c r="D93" s="147" t="s">
        <v>52</v>
      </c>
      <c r="E93" s="148">
        <v>28</v>
      </c>
      <c r="F93" s="149"/>
      <c r="G93" s="149">
        <f t="shared" si="9"/>
        <v>0</v>
      </c>
      <c r="H93" s="148">
        <v>0</v>
      </c>
    </row>
    <row r="94" spans="1:8" s="119" customFormat="1" ht="24" customHeight="1">
      <c r="A94" s="146">
        <v>75</v>
      </c>
      <c r="B94" s="147" t="s">
        <v>1339</v>
      </c>
      <c r="C94" s="147" t="s">
        <v>1340</v>
      </c>
      <c r="D94" s="147" t="s">
        <v>52</v>
      </c>
      <c r="E94" s="148">
        <v>25</v>
      </c>
      <c r="F94" s="149"/>
      <c r="G94" s="149">
        <f t="shared" si="9"/>
        <v>0</v>
      </c>
      <c r="H94" s="148">
        <v>0</v>
      </c>
    </row>
    <row r="95" spans="1:8" s="119" customFormat="1" ht="30.75" customHeight="1">
      <c r="A95" s="134"/>
      <c r="B95" s="135" t="s">
        <v>1341</v>
      </c>
      <c r="C95" s="135" t="s">
        <v>1342</v>
      </c>
      <c r="D95" s="135"/>
      <c r="E95" s="136"/>
      <c r="F95" s="137"/>
      <c r="G95" s="137">
        <f>G96</f>
        <v>0</v>
      </c>
      <c r="H95" s="136">
        <v>0</v>
      </c>
    </row>
    <row r="96" spans="1:8" s="119" customFormat="1" ht="28.5" customHeight="1">
      <c r="A96" s="138"/>
      <c r="B96" s="139" t="s">
        <v>1343</v>
      </c>
      <c r="C96" s="139" t="s">
        <v>1342</v>
      </c>
      <c r="D96" s="139"/>
      <c r="E96" s="140"/>
      <c r="F96" s="141"/>
      <c r="G96" s="141">
        <f>SUM(G97:G102)</f>
        <v>0</v>
      </c>
      <c r="H96" s="140">
        <v>0</v>
      </c>
    </row>
    <row r="97" spans="1:8" s="119" customFormat="1" ht="13.5" customHeight="1">
      <c r="A97" s="142">
        <v>76</v>
      </c>
      <c r="B97" s="143" t="s">
        <v>1344</v>
      </c>
      <c r="C97" s="143" t="s">
        <v>1345</v>
      </c>
      <c r="D97" s="143" t="s">
        <v>813</v>
      </c>
      <c r="E97" s="144">
        <v>48</v>
      </c>
      <c r="F97" s="145"/>
      <c r="G97" s="145">
        <f>E97*F97</f>
        <v>0</v>
      </c>
      <c r="H97" s="144">
        <v>0</v>
      </c>
    </row>
    <row r="98" spans="1:8" s="119" customFormat="1" ht="13.5" customHeight="1">
      <c r="A98" s="142">
        <v>77</v>
      </c>
      <c r="B98" s="143" t="s">
        <v>1346</v>
      </c>
      <c r="C98" s="143" t="s">
        <v>1347</v>
      </c>
      <c r="D98" s="143" t="s">
        <v>813</v>
      </c>
      <c r="E98" s="144">
        <v>16</v>
      </c>
      <c r="F98" s="145"/>
      <c r="G98" s="145">
        <f t="shared" ref="G98:G102" si="10">E98*F98</f>
        <v>0</v>
      </c>
      <c r="H98" s="144">
        <v>0</v>
      </c>
    </row>
    <row r="99" spans="1:8" s="119" customFormat="1" ht="13.5" customHeight="1">
      <c r="A99" s="142">
        <v>78</v>
      </c>
      <c r="B99" s="143" t="s">
        <v>1348</v>
      </c>
      <c r="C99" s="143" t="s">
        <v>1349</v>
      </c>
      <c r="D99" s="143" t="s">
        <v>1203</v>
      </c>
      <c r="E99" s="144">
        <v>1</v>
      </c>
      <c r="F99" s="145"/>
      <c r="G99" s="145">
        <f t="shared" si="10"/>
        <v>0</v>
      </c>
      <c r="H99" s="144">
        <v>0</v>
      </c>
    </row>
    <row r="100" spans="1:8" s="119" customFormat="1" ht="13.5" customHeight="1">
      <c r="A100" s="142">
        <v>79</v>
      </c>
      <c r="B100" s="143" t="s">
        <v>1350</v>
      </c>
      <c r="C100" s="143" t="s">
        <v>1351</v>
      </c>
      <c r="D100" s="143" t="s">
        <v>1203</v>
      </c>
      <c r="E100" s="144">
        <v>1</v>
      </c>
      <c r="F100" s="145"/>
      <c r="G100" s="145">
        <f t="shared" si="10"/>
        <v>0</v>
      </c>
      <c r="H100" s="144">
        <v>0</v>
      </c>
    </row>
    <row r="101" spans="1:8" s="119" customFormat="1" ht="13.5" customHeight="1">
      <c r="A101" s="142">
        <v>80</v>
      </c>
      <c r="B101" s="143" t="s">
        <v>1352</v>
      </c>
      <c r="C101" s="143" t="s">
        <v>1353</v>
      </c>
      <c r="D101" s="143" t="s">
        <v>813</v>
      </c>
      <c r="E101" s="144">
        <v>24</v>
      </c>
      <c r="F101" s="145"/>
      <c r="G101" s="145">
        <f t="shared" si="10"/>
        <v>0</v>
      </c>
      <c r="H101" s="144">
        <v>0</v>
      </c>
    </row>
    <row r="102" spans="1:8" s="119" customFormat="1" ht="13.5" customHeight="1">
      <c r="A102" s="142">
        <v>81</v>
      </c>
      <c r="B102" s="143" t="s">
        <v>1354</v>
      </c>
      <c r="C102" s="143" t="s">
        <v>1355</v>
      </c>
      <c r="D102" s="143" t="s">
        <v>813</v>
      </c>
      <c r="E102" s="144">
        <v>24</v>
      </c>
      <c r="F102" s="145"/>
      <c r="G102" s="145">
        <f t="shared" si="10"/>
        <v>0</v>
      </c>
      <c r="H102" s="144">
        <v>0</v>
      </c>
    </row>
    <row r="103" spans="1:8" s="119" customFormat="1" ht="30.75" customHeight="1">
      <c r="A103" s="151"/>
      <c r="B103" s="152"/>
      <c r="C103" s="152" t="s">
        <v>1356</v>
      </c>
      <c r="D103" s="152"/>
      <c r="E103" s="153"/>
      <c r="F103" s="154"/>
      <c r="G103" s="154">
        <f>G14+G21+G48+G52+G59+G82+G96</f>
        <v>0</v>
      </c>
      <c r="H103" s="153">
        <v>0.44178000000000001</v>
      </c>
    </row>
    <row r="105" spans="1:8" ht="22.9" customHeight="1">
      <c r="H105" s="158"/>
    </row>
  </sheetData>
  <mergeCells count="1">
    <mergeCell ref="A1:H1"/>
  </mergeCells>
  <pageMargins left="0.39370078740157483" right="0.39370078740157483" top="0.78740157480314965" bottom="0.78740157480314965" header="0" footer="0"/>
  <pageSetup paperSize="9" scale="76" fitToHeight="3" orientation="landscape" blackAndWhite="1" r:id="rId1"/>
  <headerFooter alignWithMargins="0">
    <oddFooter>&amp;C   Strana &amp;P 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53"/>
  <sheetViews>
    <sheetView zoomScale="102" zoomScaleNormal="102" workbookViewId="0">
      <selection activeCell="I20" sqref="I20"/>
    </sheetView>
  </sheetViews>
  <sheetFormatPr defaultRowHeight="12.75"/>
  <cols>
    <col min="1" max="1" width="6.5703125" style="313" customWidth="1"/>
    <col min="2" max="2" width="14.28515625" style="29" customWidth="1"/>
    <col min="3" max="3" width="40.28515625" style="29" customWidth="1"/>
    <col min="4" max="4" width="4.5703125" style="29" customWidth="1"/>
    <col min="5" max="5" width="8.42578125" style="219" customWidth="1"/>
    <col min="6" max="6" width="12.7109375" style="29" customWidth="1"/>
    <col min="7" max="7" width="14.5703125" style="29" customWidth="1"/>
    <col min="8" max="8" width="7.5703125" style="218" customWidth="1"/>
    <col min="9" max="9" width="14.42578125" style="218" customWidth="1"/>
    <col min="10" max="10" width="11.28515625" style="218" customWidth="1"/>
    <col min="11" max="11" width="7.5703125" style="29" customWidth="1"/>
    <col min="12" max="12" width="12.5703125" style="218" customWidth="1"/>
    <col min="13" max="13" width="21.7109375" style="218" hidden="1" customWidth="1"/>
    <col min="14" max="14" width="12.7109375" style="218" hidden="1" customWidth="1"/>
    <col min="15" max="16" width="9.42578125" style="29" hidden="1" customWidth="1"/>
    <col min="17" max="18" width="13.85546875" style="29" hidden="1" customWidth="1"/>
    <col min="19" max="19" width="13.85546875" hidden="1" customWidth="1"/>
    <col min="252" max="252" width="5.140625" customWidth="1"/>
    <col min="253" max="253" width="14.28515625" customWidth="1"/>
    <col min="254" max="254" width="40.28515625" customWidth="1"/>
    <col min="255" max="255" width="4.5703125" customWidth="1"/>
    <col min="256" max="256" width="8.42578125" customWidth="1"/>
    <col min="257" max="257" width="12.7109375" customWidth="1"/>
    <col min="258" max="258" width="14.5703125" customWidth="1"/>
    <col min="259" max="259" width="7.5703125" customWidth="1"/>
    <col min="260" max="260" width="14.42578125" customWidth="1"/>
    <col min="261" max="261" width="11.28515625" customWidth="1"/>
    <col min="262" max="262" width="7.5703125" customWidth="1"/>
    <col min="263" max="268" width="12.5703125" customWidth="1"/>
    <col min="269" max="269" width="21.7109375" customWidth="1"/>
    <col min="270" max="270" width="12.7109375" customWidth="1"/>
    <col min="271" max="273" width="9.42578125" customWidth="1"/>
    <col min="274" max="274" width="0.140625" customWidth="1"/>
    <col min="508" max="508" width="5.140625" customWidth="1"/>
    <col min="509" max="509" width="14.28515625" customWidth="1"/>
    <col min="510" max="510" width="40.28515625" customWidth="1"/>
    <col min="511" max="511" width="4.5703125" customWidth="1"/>
    <col min="512" max="512" width="8.42578125" customWidth="1"/>
    <col min="513" max="513" width="12.7109375" customWidth="1"/>
    <col min="514" max="514" width="14.5703125" customWidth="1"/>
    <col min="515" max="515" width="7.5703125" customWidth="1"/>
    <col min="516" max="516" width="14.42578125" customWidth="1"/>
    <col min="517" max="517" width="11.28515625" customWidth="1"/>
    <col min="518" max="518" width="7.5703125" customWidth="1"/>
    <col min="519" max="524" width="12.5703125" customWidth="1"/>
    <col min="525" max="525" width="21.7109375" customWidth="1"/>
    <col min="526" max="526" width="12.7109375" customWidth="1"/>
    <col min="527" max="529" width="9.42578125" customWidth="1"/>
    <col min="530" max="530" width="0.140625" customWidth="1"/>
    <col min="764" max="764" width="5.140625" customWidth="1"/>
    <col min="765" max="765" width="14.28515625" customWidth="1"/>
    <col min="766" max="766" width="40.28515625" customWidth="1"/>
    <col min="767" max="767" width="4.5703125" customWidth="1"/>
    <col min="768" max="768" width="8.42578125" customWidth="1"/>
    <col min="769" max="769" width="12.7109375" customWidth="1"/>
    <col min="770" max="770" width="14.5703125" customWidth="1"/>
    <col min="771" max="771" width="7.5703125" customWidth="1"/>
    <col min="772" max="772" width="14.42578125" customWidth="1"/>
    <col min="773" max="773" width="11.28515625" customWidth="1"/>
    <col min="774" max="774" width="7.5703125" customWidth="1"/>
    <col min="775" max="780" width="12.5703125" customWidth="1"/>
    <col min="781" max="781" width="21.7109375" customWidth="1"/>
    <col min="782" max="782" width="12.7109375" customWidth="1"/>
    <col min="783" max="785" width="9.42578125" customWidth="1"/>
    <col min="786" max="786" width="0.140625" customWidth="1"/>
    <col min="1020" max="1020" width="5.140625" customWidth="1"/>
    <col min="1021" max="1021" width="14.28515625" customWidth="1"/>
    <col min="1022" max="1022" width="40.28515625" customWidth="1"/>
    <col min="1023" max="1023" width="4.5703125" customWidth="1"/>
    <col min="1024" max="1024" width="8.42578125" customWidth="1"/>
    <col min="1025" max="1025" width="12.7109375" customWidth="1"/>
    <col min="1026" max="1026" width="14.5703125" customWidth="1"/>
    <col min="1027" max="1027" width="7.5703125" customWidth="1"/>
    <col min="1028" max="1028" width="14.42578125" customWidth="1"/>
    <col min="1029" max="1029" width="11.28515625" customWidth="1"/>
    <col min="1030" max="1030" width="7.5703125" customWidth="1"/>
    <col min="1031" max="1036" width="12.5703125" customWidth="1"/>
    <col min="1037" max="1037" width="21.7109375" customWidth="1"/>
    <col min="1038" max="1038" width="12.7109375" customWidth="1"/>
    <col min="1039" max="1041" width="9.42578125" customWidth="1"/>
    <col min="1042" max="1042" width="0.140625" customWidth="1"/>
    <col min="1276" max="1276" width="5.140625" customWidth="1"/>
    <col min="1277" max="1277" width="14.28515625" customWidth="1"/>
    <col min="1278" max="1278" width="40.28515625" customWidth="1"/>
    <col min="1279" max="1279" width="4.5703125" customWidth="1"/>
    <col min="1280" max="1280" width="8.42578125" customWidth="1"/>
    <col min="1281" max="1281" width="12.7109375" customWidth="1"/>
    <col min="1282" max="1282" width="14.5703125" customWidth="1"/>
    <col min="1283" max="1283" width="7.5703125" customWidth="1"/>
    <col min="1284" max="1284" width="14.42578125" customWidth="1"/>
    <col min="1285" max="1285" width="11.28515625" customWidth="1"/>
    <col min="1286" max="1286" width="7.5703125" customWidth="1"/>
    <col min="1287" max="1292" width="12.5703125" customWidth="1"/>
    <col min="1293" max="1293" width="21.7109375" customWidth="1"/>
    <col min="1294" max="1294" width="12.7109375" customWidth="1"/>
    <col min="1295" max="1297" width="9.42578125" customWidth="1"/>
    <col min="1298" max="1298" width="0.140625" customWidth="1"/>
    <col min="1532" max="1532" width="5.140625" customWidth="1"/>
    <col min="1533" max="1533" width="14.28515625" customWidth="1"/>
    <col min="1534" max="1534" width="40.28515625" customWidth="1"/>
    <col min="1535" max="1535" width="4.5703125" customWidth="1"/>
    <col min="1536" max="1536" width="8.42578125" customWidth="1"/>
    <col min="1537" max="1537" width="12.7109375" customWidth="1"/>
    <col min="1538" max="1538" width="14.5703125" customWidth="1"/>
    <col min="1539" max="1539" width="7.5703125" customWidth="1"/>
    <col min="1540" max="1540" width="14.42578125" customWidth="1"/>
    <col min="1541" max="1541" width="11.28515625" customWidth="1"/>
    <col min="1542" max="1542" width="7.5703125" customWidth="1"/>
    <col min="1543" max="1548" width="12.5703125" customWidth="1"/>
    <col min="1549" max="1549" width="21.7109375" customWidth="1"/>
    <col min="1550" max="1550" width="12.7109375" customWidth="1"/>
    <col min="1551" max="1553" width="9.42578125" customWidth="1"/>
    <col min="1554" max="1554" width="0.140625" customWidth="1"/>
    <col min="1788" max="1788" width="5.140625" customWidth="1"/>
    <col min="1789" max="1789" width="14.28515625" customWidth="1"/>
    <col min="1790" max="1790" width="40.28515625" customWidth="1"/>
    <col min="1791" max="1791" width="4.5703125" customWidth="1"/>
    <col min="1792" max="1792" width="8.42578125" customWidth="1"/>
    <col min="1793" max="1793" width="12.7109375" customWidth="1"/>
    <col min="1794" max="1794" width="14.5703125" customWidth="1"/>
    <col min="1795" max="1795" width="7.5703125" customWidth="1"/>
    <col min="1796" max="1796" width="14.42578125" customWidth="1"/>
    <col min="1797" max="1797" width="11.28515625" customWidth="1"/>
    <col min="1798" max="1798" width="7.5703125" customWidth="1"/>
    <col min="1799" max="1804" width="12.5703125" customWidth="1"/>
    <col min="1805" max="1805" width="21.7109375" customWidth="1"/>
    <col min="1806" max="1806" width="12.7109375" customWidth="1"/>
    <col min="1807" max="1809" width="9.42578125" customWidth="1"/>
    <col min="1810" max="1810" width="0.140625" customWidth="1"/>
    <col min="2044" max="2044" width="5.140625" customWidth="1"/>
    <col min="2045" max="2045" width="14.28515625" customWidth="1"/>
    <col min="2046" max="2046" width="40.28515625" customWidth="1"/>
    <col min="2047" max="2047" width="4.5703125" customWidth="1"/>
    <col min="2048" max="2048" width="8.42578125" customWidth="1"/>
    <col min="2049" max="2049" width="12.7109375" customWidth="1"/>
    <col min="2050" max="2050" width="14.5703125" customWidth="1"/>
    <col min="2051" max="2051" width="7.5703125" customWidth="1"/>
    <col min="2052" max="2052" width="14.42578125" customWidth="1"/>
    <col min="2053" max="2053" width="11.28515625" customWidth="1"/>
    <col min="2054" max="2054" width="7.5703125" customWidth="1"/>
    <col min="2055" max="2060" width="12.5703125" customWidth="1"/>
    <col min="2061" max="2061" width="21.7109375" customWidth="1"/>
    <col min="2062" max="2062" width="12.7109375" customWidth="1"/>
    <col min="2063" max="2065" width="9.42578125" customWidth="1"/>
    <col min="2066" max="2066" width="0.140625" customWidth="1"/>
    <col min="2300" max="2300" width="5.140625" customWidth="1"/>
    <col min="2301" max="2301" width="14.28515625" customWidth="1"/>
    <col min="2302" max="2302" width="40.28515625" customWidth="1"/>
    <col min="2303" max="2303" width="4.5703125" customWidth="1"/>
    <col min="2304" max="2304" width="8.42578125" customWidth="1"/>
    <col min="2305" max="2305" width="12.7109375" customWidth="1"/>
    <col min="2306" max="2306" width="14.5703125" customWidth="1"/>
    <col min="2307" max="2307" width="7.5703125" customWidth="1"/>
    <col min="2308" max="2308" width="14.42578125" customWidth="1"/>
    <col min="2309" max="2309" width="11.28515625" customWidth="1"/>
    <col min="2310" max="2310" width="7.5703125" customWidth="1"/>
    <col min="2311" max="2316" width="12.5703125" customWidth="1"/>
    <col min="2317" max="2317" width="21.7109375" customWidth="1"/>
    <col min="2318" max="2318" width="12.7109375" customWidth="1"/>
    <col min="2319" max="2321" width="9.42578125" customWidth="1"/>
    <col min="2322" max="2322" width="0.140625" customWidth="1"/>
    <col min="2556" max="2556" width="5.140625" customWidth="1"/>
    <col min="2557" max="2557" width="14.28515625" customWidth="1"/>
    <col min="2558" max="2558" width="40.28515625" customWidth="1"/>
    <col min="2559" max="2559" width="4.5703125" customWidth="1"/>
    <col min="2560" max="2560" width="8.42578125" customWidth="1"/>
    <col min="2561" max="2561" width="12.7109375" customWidth="1"/>
    <col min="2562" max="2562" width="14.5703125" customWidth="1"/>
    <col min="2563" max="2563" width="7.5703125" customWidth="1"/>
    <col min="2564" max="2564" width="14.42578125" customWidth="1"/>
    <col min="2565" max="2565" width="11.28515625" customWidth="1"/>
    <col min="2566" max="2566" width="7.5703125" customWidth="1"/>
    <col min="2567" max="2572" width="12.5703125" customWidth="1"/>
    <col min="2573" max="2573" width="21.7109375" customWidth="1"/>
    <col min="2574" max="2574" width="12.7109375" customWidth="1"/>
    <col min="2575" max="2577" width="9.42578125" customWidth="1"/>
    <col min="2578" max="2578" width="0.140625" customWidth="1"/>
    <col min="2812" max="2812" width="5.140625" customWidth="1"/>
    <col min="2813" max="2813" width="14.28515625" customWidth="1"/>
    <col min="2814" max="2814" width="40.28515625" customWidth="1"/>
    <col min="2815" max="2815" width="4.5703125" customWidth="1"/>
    <col min="2816" max="2816" width="8.42578125" customWidth="1"/>
    <col min="2817" max="2817" width="12.7109375" customWidth="1"/>
    <col min="2818" max="2818" width="14.5703125" customWidth="1"/>
    <col min="2819" max="2819" width="7.5703125" customWidth="1"/>
    <col min="2820" max="2820" width="14.42578125" customWidth="1"/>
    <col min="2821" max="2821" width="11.28515625" customWidth="1"/>
    <col min="2822" max="2822" width="7.5703125" customWidth="1"/>
    <col min="2823" max="2828" width="12.5703125" customWidth="1"/>
    <col min="2829" max="2829" width="21.7109375" customWidth="1"/>
    <col min="2830" max="2830" width="12.7109375" customWidth="1"/>
    <col min="2831" max="2833" width="9.42578125" customWidth="1"/>
    <col min="2834" max="2834" width="0.140625" customWidth="1"/>
    <col min="3068" max="3068" width="5.140625" customWidth="1"/>
    <col min="3069" max="3069" width="14.28515625" customWidth="1"/>
    <col min="3070" max="3070" width="40.28515625" customWidth="1"/>
    <col min="3071" max="3071" width="4.5703125" customWidth="1"/>
    <col min="3072" max="3072" width="8.42578125" customWidth="1"/>
    <col min="3073" max="3073" width="12.7109375" customWidth="1"/>
    <col min="3074" max="3074" width="14.5703125" customWidth="1"/>
    <col min="3075" max="3075" width="7.5703125" customWidth="1"/>
    <col min="3076" max="3076" width="14.42578125" customWidth="1"/>
    <col min="3077" max="3077" width="11.28515625" customWidth="1"/>
    <col min="3078" max="3078" width="7.5703125" customWidth="1"/>
    <col min="3079" max="3084" width="12.5703125" customWidth="1"/>
    <col min="3085" max="3085" width="21.7109375" customWidth="1"/>
    <col min="3086" max="3086" width="12.7109375" customWidth="1"/>
    <col min="3087" max="3089" width="9.42578125" customWidth="1"/>
    <col min="3090" max="3090" width="0.140625" customWidth="1"/>
    <col min="3324" max="3324" width="5.140625" customWidth="1"/>
    <col min="3325" max="3325" width="14.28515625" customWidth="1"/>
    <col min="3326" max="3326" width="40.28515625" customWidth="1"/>
    <col min="3327" max="3327" width="4.5703125" customWidth="1"/>
    <col min="3328" max="3328" width="8.42578125" customWidth="1"/>
    <col min="3329" max="3329" width="12.7109375" customWidth="1"/>
    <col min="3330" max="3330" width="14.5703125" customWidth="1"/>
    <col min="3331" max="3331" width="7.5703125" customWidth="1"/>
    <col min="3332" max="3332" width="14.42578125" customWidth="1"/>
    <col min="3333" max="3333" width="11.28515625" customWidth="1"/>
    <col min="3334" max="3334" width="7.5703125" customWidth="1"/>
    <col min="3335" max="3340" width="12.5703125" customWidth="1"/>
    <col min="3341" max="3341" width="21.7109375" customWidth="1"/>
    <col min="3342" max="3342" width="12.7109375" customWidth="1"/>
    <col min="3343" max="3345" width="9.42578125" customWidth="1"/>
    <col min="3346" max="3346" width="0.140625" customWidth="1"/>
    <col min="3580" max="3580" width="5.140625" customWidth="1"/>
    <col min="3581" max="3581" width="14.28515625" customWidth="1"/>
    <col min="3582" max="3582" width="40.28515625" customWidth="1"/>
    <col min="3583" max="3583" width="4.5703125" customWidth="1"/>
    <col min="3584" max="3584" width="8.42578125" customWidth="1"/>
    <col min="3585" max="3585" width="12.7109375" customWidth="1"/>
    <col min="3586" max="3586" width="14.5703125" customWidth="1"/>
    <col min="3587" max="3587" width="7.5703125" customWidth="1"/>
    <col min="3588" max="3588" width="14.42578125" customWidth="1"/>
    <col min="3589" max="3589" width="11.28515625" customWidth="1"/>
    <col min="3590" max="3590" width="7.5703125" customWidth="1"/>
    <col min="3591" max="3596" width="12.5703125" customWidth="1"/>
    <col min="3597" max="3597" width="21.7109375" customWidth="1"/>
    <col min="3598" max="3598" width="12.7109375" customWidth="1"/>
    <col min="3599" max="3601" width="9.42578125" customWidth="1"/>
    <col min="3602" max="3602" width="0.140625" customWidth="1"/>
    <col min="3836" max="3836" width="5.140625" customWidth="1"/>
    <col min="3837" max="3837" width="14.28515625" customWidth="1"/>
    <col min="3838" max="3838" width="40.28515625" customWidth="1"/>
    <col min="3839" max="3839" width="4.5703125" customWidth="1"/>
    <col min="3840" max="3840" width="8.42578125" customWidth="1"/>
    <col min="3841" max="3841" width="12.7109375" customWidth="1"/>
    <col min="3842" max="3842" width="14.5703125" customWidth="1"/>
    <col min="3843" max="3843" width="7.5703125" customWidth="1"/>
    <col min="3844" max="3844" width="14.42578125" customWidth="1"/>
    <col min="3845" max="3845" width="11.28515625" customWidth="1"/>
    <col min="3846" max="3846" width="7.5703125" customWidth="1"/>
    <col min="3847" max="3852" width="12.5703125" customWidth="1"/>
    <col min="3853" max="3853" width="21.7109375" customWidth="1"/>
    <col min="3854" max="3854" width="12.7109375" customWidth="1"/>
    <col min="3855" max="3857" width="9.42578125" customWidth="1"/>
    <col min="3858" max="3858" width="0.140625" customWidth="1"/>
    <col min="4092" max="4092" width="5.140625" customWidth="1"/>
    <col min="4093" max="4093" width="14.28515625" customWidth="1"/>
    <col min="4094" max="4094" width="40.28515625" customWidth="1"/>
    <col min="4095" max="4095" width="4.5703125" customWidth="1"/>
    <col min="4096" max="4096" width="8.42578125" customWidth="1"/>
    <col min="4097" max="4097" width="12.7109375" customWidth="1"/>
    <col min="4098" max="4098" width="14.5703125" customWidth="1"/>
    <col min="4099" max="4099" width="7.5703125" customWidth="1"/>
    <col min="4100" max="4100" width="14.42578125" customWidth="1"/>
    <col min="4101" max="4101" width="11.28515625" customWidth="1"/>
    <col min="4102" max="4102" width="7.5703125" customWidth="1"/>
    <col min="4103" max="4108" width="12.5703125" customWidth="1"/>
    <col min="4109" max="4109" width="21.7109375" customWidth="1"/>
    <col min="4110" max="4110" width="12.7109375" customWidth="1"/>
    <col min="4111" max="4113" width="9.42578125" customWidth="1"/>
    <col min="4114" max="4114" width="0.140625" customWidth="1"/>
    <col min="4348" max="4348" width="5.140625" customWidth="1"/>
    <col min="4349" max="4349" width="14.28515625" customWidth="1"/>
    <col min="4350" max="4350" width="40.28515625" customWidth="1"/>
    <col min="4351" max="4351" width="4.5703125" customWidth="1"/>
    <col min="4352" max="4352" width="8.42578125" customWidth="1"/>
    <col min="4353" max="4353" width="12.7109375" customWidth="1"/>
    <col min="4354" max="4354" width="14.5703125" customWidth="1"/>
    <col min="4355" max="4355" width="7.5703125" customWidth="1"/>
    <col min="4356" max="4356" width="14.42578125" customWidth="1"/>
    <col min="4357" max="4357" width="11.28515625" customWidth="1"/>
    <col min="4358" max="4358" width="7.5703125" customWidth="1"/>
    <col min="4359" max="4364" width="12.5703125" customWidth="1"/>
    <col min="4365" max="4365" width="21.7109375" customWidth="1"/>
    <col min="4366" max="4366" width="12.7109375" customWidth="1"/>
    <col min="4367" max="4369" width="9.42578125" customWidth="1"/>
    <col min="4370" max="4370" width="0.140625" customWidth="1"/>
    <col min="4604" max="4604" width="5.140625" customWidth="1"/>
    <col min="4605" max="4605" width="14.28515625" customWidth="1"/>
    <col min="4606" max="4606" width="40.28515625" customWidth="1"/>
    <col min="4607" max="4607" width="4.5703125" customWidth="1"/>
    <col min="4608" max="4608" width="8.42578125" customWidth="1"/>
    <col min="4609" max="4609" width="12.7109375" customWidth="1"/>
    <col min="4610" max="4610" width="14.5703125" customWidth="1"/>
    <col min="4611" max="4611" width="7.5703125" customWidth="1"/>
    <col min="4612" max="4612" width="14.42578125" customWidth="1"/>
    <col min="4613" max="4613" width="11.28515625" customWidth="1"/>
    <col min="4614" max="4614" width="7.5703125" customWidth="1"/>
    <col min="4615" max="4620" width="12.5703125" customWidth="1"/>
    <col min="4621" max="4621" width="21.7109375" customWidth="1"/>
    <col min="4622" max="4622" width="12.7109375" customWidth="1"/>
    <col min="4623" max="4625" width="9.42578125" customWidth="1"/>
    <col min="4626" max="4626" width="0.140625" customWidth="1"/>
    <col min="4860" max="4860" width="5.140625" customWidth="1"/>
    <col min="4861" max="4861" width="14.28515625" customWidth="1"/>
    <col min="4862" max="4862" width="40.28515625" customWidth="1"/>
    <col min="4863" max="4863" width="4.5703125" customWidth="1"/>
    <col min="4864" max="4864" width="8.42578125" customWidth="1"/>
    <col min="4865" max="4865" width="12.7109375" customWidth="1"/>
    <col min="4866" max="4866" width="14.5703125" customWidth="1"/>
    <col min="4867" max="4867" width="7.5703125" customWidth="1"/>
    <col min="4868" max="4868" width="14.42578125" customWidth="1"/>
    <col min="4869" max="4869" width="11.28515625" customWidth="1"/>
    <col min="4870" max="4870" width="7.5703125" customWidth="1"/>
    <col min="4871" max="4876" width="12.5703125" customWidth="1"/>
    <col min="4877" max="4877" width="21.7109375" customWidth="1"/>
    <col min="4878" max="4878" width="12.7109375" customWidth="1"/>
    <col min="4879" max="4881" width="9.42578125" customWidth="1"/>
    <col min="4882" max="4882" width="0.140625" customWidth="1"/>
    <col min="5116" max="5116" width="5.140625" customWidth="1"/>
    <col min="5117" max="5117" width="14.28515625" customWidth="1"/>
    <col min="5118" max="5118" width="40.28515625" customWidth="1"/>
    <col min="5119" max="5119" width="4.5703125" customWidth="1"/>
    <col min="5120" max="5120" width="8.42578125" customWidth="1"/>
    <col min="5121" max="5121" width="12.7109375" customWidth="1"/>
    <col min="5122" max="5122" width="14.5703125" customWidth="1"/>
    <col min="5123" max="5123" width="7.5703125" customWidth="1"/>
    <col min="5124" max="5124" width="14.42578125" customWidth="1"/>
    <col min="5125" max="5125" width="11.28515625" customWidth="1"/>
    <col min="5126" max="5126" width="7.5703125" customWidth="1"/>
    <col min="5127" max="5132" width="12.5703125" customWidth="1"/>
    <col min="5133" max="5133" width="21.7109375" customWidth="1"/>
    <col min="5134" max="5134" width="12.7109375" customWidth="1"/>
    <col min="5135" max="5137" width="9.42578125" customWidth="1"/>
    <col min="5138" max="5138" width="0.140625" customWidth="1"/>
    <col min="5372" max="5372" width="5.140625" customWidth="1"/>
    <col min="5373" max="5373" width="14.28515625" customWidth="1"/>
    <col min="5374" max="5374" width="40.28515625" customWidth="1"/>
    <col min="5375" max="5375" width="4.5703125" customWidth="1"/>
    <col min="5376" max="5376" width="8.42578125" customWidth="1"/>
    <col min="5377" max="5377" width="12.7109375" customWidth="1"/>
    <col min="5378" max="5378" width="14.5703125" customWidth="1"/>
    <col min="5379" max="5379" width="7.5703125" customWidth="1"/>
    <col min="5380" max="5380" width="14.42578125" customWidth="1"/>
    <col min="5381" max="5381" width="11.28515625" customWidth="1"/>
    <col min="5382" max="5382" width="7.5703125" customWidth="1"/>
    <col min="5383" max="5388" width="12.5703125" customWidth="1"/>
    <col min="5389" max="5389" width="21.7109375" customWidth="1"/>
    <col min="5390" max="5390" width="12.7109375" customWidth="1"/>
    <col min="5391" max="5393" width="9.42578125" customWidth="1"/>
    <col min="5394" max="5394" width="0.140625" customWidth="1"/>
    <col min="5628" max="5628" width="5.140625" customWidth="1"/>
    <col min="5629" max="5629" width="14.28515625" customWidth="1"/>
    <col min="5630" max="5630" width="40.28515625" customWidth="1"/>
    <col min="5631" max="5631" width="4.5703125" customWidth="1"/>
    <col min="5632" max="5632" width="8.42578125" customWidth="1"/>
    <col min="5633" max="5633" width="12.7109375" customWidth="1"/>
    <col min="5634" max="5634" width="14.5703125" customWidth="1"/>
    <col min="5635" max="5635" width="7.5703125" customWidth="1"/>
    <col min="5636" max="5636" width="14.42578125" customWidth="1"/>
    <col min="5637" max="5637" width="11.28515625" customWidth="1"/>
    <col min="5638" max="5638" width="7.5703125" customWidth="1"/>
    <col min="5639" max="5644" width="12.5703125" customWidth="1"/>
    <col min="5645" max="5645" width="21.7109375" customWidth="1"/>
    <col min="5646" max="5646" width="12.7109375" customWidth="1"/>
    <col min="5647" max="5649" width="9.42578125" customWidth="1"/>
    <col min="5650" max="5650" width="0.140625" customWidth="1"/>
    <col min="5884" max="5884" width="5.140625" customWidth="1"/>
    <col min="5885" max="5885" width="14.28515625" customWidth="1"/>
    <col min="5886" max="5886" width="40.28515625" customWidth="1"/>
    <col min="5887" max="5887" width="4.5703125" customWidth="1"/>
    <col min="5888" max="5888" width="8.42578125" customWidth="1"/>
    <col min="5889" max="5889" width="12.7109375" customWidth="1"/>
    <col min="5890" max="5890" width="14.5703125" customWidth="1"/>
    <col min="5891" max="5891" width="7.5703125" customWidth="1"/>
    <col min="5892" max="5892" width="14.42578125" customWidth="1"/>
    <col min="5893" max="5893" width="11.28515625" customWidth="1"/>
    <col min="5894" max="5894" width="7.5703125" customWidth="1"/>
    <col min="5895" max="5900" width="12.5703125" customWidth="1"/>
    <col min="5901" max="5901" width="21.7109375" customWidth="1"/>
    <col min="5902" max="5902" width="12.7109375" customWidth="1"/>
    <col min="5903" max="5905" width="9.42578125" customWidth="1"/>
    <col min="5906" max="5906" width="0.140625" customWidth="1"/>
    <col min="6140" max="6140" width="5.140625" customWidth="1"/>
    <col min="6141" max="6141" width="14.28515625" customWidth="1"/>
    <col min="6142" max="6142" width="40.28515625" customWidth="1"/>
    <col min="6143" max="6143" width="4.5703125" customWidth="1"/>
    <col min="6144" max="6144" width="8.42578125" customWidth="1"/>
    <col min="6145" max="6145" width="12.7109375" customWidth="1"/>
    <col min="6146" max="6146" width="14.5703125" customWidth="1"/>
    <col min="6147" max="6147" width="7.5703125" customWidth="1"/>
    <col min="6148" max="6148" width="14.42578125" customWidth="1"/>
    <col min="6149" max="6149" width="11.28515625" customWidth="1"/>
    <col min="6150" max="6150" width="7.5703125" customWidth="1"/>
    <col min="6151" max="6156" width="12.5703125" customWidth="1"/>
    <col min="6157" max="6157" width="21.7109375" customWidth="1"/>
    <col min="6158" max="6158" width="12.7109375" customWidth="1"/>
    <col min="6159" max="6161" width="9.42578125" customWidth="1"/>
    <col min="6162" max="6162" width="0.140625" customWidth="1"/>
    <col min="6396" max="6396" width="5.140625" customWidth="1"/>
    <col min="6397" max="6397" width="14.28515625" customWidth="1"/>
    <col min="6398" max="6398" width="40.28515625" customWidth="1"/>
    <col min="6399" max="6399" width="4.5703125" customWidth="1"/>
    <col min="6400" max="6400" width="8.42578125" customWidth="1"/>
    <col min="6401" max="6401" width="12.7109375" customWidth="1"/>
    <col min="6402" max="6402" width="14.5703125" customWidth="1"/>
    <col min="6403" max="6403" width="7.5703125" customWidth="1"/>
    <col min="6404" max="6404" width="14.42578125" customWidth="1"/>
    <col min="6405" max="6405" width="11.28515625" customWidth="1"/>
    <col min="6406" max="6406" width="7.5703125" customWidth="1"/>
    <col min="6407" max="6412" width="12.5703125" customWidth="1"/>
    <col min="6413" max="6413" width="21.7109375" customWidth="1"/>
    <col min="6414" max="6414" width="12.7109375" customWidth="1"/>
    <col min="6415" max="6417" width="9.42578125" customWidth="1"/>
    <col min="6418" max="6418" width="0.140625" customWidth="1"/>
    <col min="6652" max="6652" width="5.140625" customWidth="1"/>
    <col min="6653" max="6653" width="14.28515625" customWidth="1"/>
    <col min="6654" max="6654" width="40.28515625" customWidth="1"/>
    <col min="6655" max="6655" width="4.5703125" customWidth="1"/>
    <col min="6656" max="6656" width="8.42578125" customWidth="1"/>
    <col min="6657" max="6657" width="12.7109375" customWidth="1"/>
    <col min="6658" max="6658" width="14.5703125" customWidth="1"/>
    <col min="6659" max="6659" width="7.5703125" customWidth="1"/>
    <col min="6660" max="6660" width="14.42578125" customWidth="1"/>
    <col min="6661" max="6661" width="11.28515625" customWidth="1"/>
    <col min="6662" max="6662" width="7.5703125" customWidth="1"/>
    <col min="6663" max="6668" width="12.5703125" customWidth="1"/>
    <col min="6669" max="6669" width="21.7109375" customWidth="1"/>
    <col min="6670" max="6670" width="12.7109375" customWidth="1"/>
    <col min="6671" max="6673" width="9.42578125" customWidth="1"/>
    <col min="6674" max="6674" width="0.140625" customWidth="1"/>
    <col min="6908" max="6908" width="5.140625" customWidth="1"/>
    <col min="6909" max="6909" width="14.28515625" customWidth="1"/>
    <col min="6910" max="6910" width="40.28515625" customWidth="1"/>
    <col min="6911" max="6911" width="4.5703125" customWidth="1"/>
    <col min="6912" max="6912" width="8.42578125" customWidth="1"/>
    <col min="6913" max="6913" width="12.7109375" customWidth="1"/>
    <col min="6914" max="6914" width="14.5703125" customWidth="1"/>
    <col min="6915" max="6915" width="7.5703125" customWidth="1"/>
    <col min="6916" max="6916" width="14.42578125" customWidth="1"/>
    <col min="6917" max="6917" width="11.28515625" customWidth="1"/>
    <col min="6918" max="6918" width="7.5703125" customWidth="1"/>
    <col min="6919" max="6924" width="12.5703125" customWidth="1"/>
    <col min="6925" max="6925" width="21.7109375" customWidth="1"/>
    <col min="6926" max="6926" width="12.7109375" customWidth="1"/>
    <col min="6927" max="6929" width="9.42578125" customWidth="1"/>
    <col min="6930" max="6930" width="0.140625" customWidth="1"/>
    <col min="7164" max="7164" width="5.140625" customWidth="1"/>
    <col min="7165" max="7165" width="14.28515625" customWidth="1"/>
    <col min="7166" max="7166" width="40.28515625" customWidth="1"/>
    <col min="7167" max="7167" width="4.5703125" customWidth="1"/>
    <col min="7168" max="7168" width="8.42578125" customWidth="1"/>
    <col min="7169" max="7169" width="12.7109375" customWidth="1"/>
    <col min="7170" max="7170" width="14.5703125" customWidth="1"/>
    <col min="7171" max="7171" width="7.5703125" customWidth="1"/>
    <col min="7172" max="7172" width="14.42578125" customWidth="1"/>
    <col min="7173" max="7173" width="11.28515625" customWidth="1"/>
    <col min="7174" max="7174" width="7.5703125" customWidth="1"/>
    <col min="7175" max="7180" width="12.5703125" customWidth="1"/>
    <col min="7181" max="7181" width="21.7109375" customWidth="1"/>
    <col min="7182" max="7182" width="12.7109375" customWidth="1"/>
    <col min="7183" max="7185" width="9.42578125" customWidth="1"/>
    <col min="7186" max="7186" width="0.140625" customWidth="1"/>
    <col min="7420" max="7420" width="5.140625" customWidth="1"/>
    <col min="7421" max="7421" width="14.28515625" customWidth="1"/>
    <col min="7422" max="7422" width="40.28515625" customWidth="1"/>
    <col min="7423" max="7423" width="4.5703125" customWidth="1"/>
    <col min="7424" max="7424" width="8.42578125" customWidth="1"/>
    <col min="7425" max="7425" width="12.7109375" customWidth="1"/>
    <col min="7426" max="7426" width="14.5703125" customWidth="1"/>
    <col min="7427" max="7427" width="7.5703125" customWidth="1"/>
    <col min="7428" max="7428" width="14.42578125" customWidth="1"/>
    <col min="7429" max="7429" width="11.28515625" customWidth="1"/>
    <col min="7430" max="7430" width="7.5703125" customWidth="1"/>
    <col min="7431" max="7436" width="12.5703125" customWidth="1"/>
    <col min="7437" max="7437" width="21.7109375" customWidth="1"/>
    <col min="7438" max="7438" width="12.7109375" customWidth="1"/>
    <col min="7439" max="7441" width="9.42578125" customWidth="1"/>
    <col min="7442" max="7442" width="0.140625" customWidth="1"/>
    <col min="7676" max="7676" width="5.140625" customWidth="1"/>
    <col min="7677" max="7677" width="14.28515625" customWidth="1"/>
    <col min="7678" max="7678" width="40.28515625" customWidth="1"/>
    <col min="7679" max="7679" width="4.5703125" customWidth="1"/>
    <col min="7680" max="7680" width="8.42578125" customWidth="1"/>
    <col min="7681" max="7681" width="12.7109375" customWidth="1"/>
    <col min="7682" max="7682" width="14.5703125" customWidth="1"/>
    <col min="7683" max="7683" width="7.5703125" customWidth="1"/>
    <col min="7684" max="7684" width="14.42578125" customWidth="1"/>
    <col min="7685" max="7685" width="11.28515625" customWidth="1"/>
    <col min="7686" max="7686" width="7.5703125" customWidth="1"/>
    <col min="7687" max="7692" width="12.5703125" customWidth="1"/>
    <col min="7693" max="7693" width="21.7109375" customWidth="1"/>
    <col min="7694" max="7694" width="12.7109375" customWidth="1"/>
    <col min="7695" max="7697" width="9.42578125" customWidth="1"/>
    <col min="7698" max="7698" width="0.140625" customWidth="1"/>
    <col min="7932" max="7932" width="5.140625" customWidth="1"/>
    <col min="7933" max="7933" width="14.28515625" customWidth="1"/>
    <col min="7934" max="7934" width="40.28515625" customWidth="1"/>
    <col min="7935" max="7935" width="4.5703125" customWidth="1"/>
    <col min="7936" max="7936" width="8.42578125" customWidth="1"/>
    <col min="7937" max="7937" width="12.7109375" customWidth="1"/>
    <col min="7938" max="7938" width="14.5703125" customWidth="1"/>
    <col min="7939" max="7939" width="7.5703125" customWidth="1"/>
    <col min="7940" max="7940" width="14.42578125" customWidth="1"/>
    <col min="7941" max="7941" width="11.28515625" customWidth="1"/>
    <col min="7942" max="7942" width="7.5703125" customWidth="1"/>
    <col min="7943" max="7948" width="12.5703125" customWidth="1"/>
    <col min="7949" max="7949" width="21.7109375" customWidth="1"/>
    <col min="7950" max="7950" width="12.7109375" customWidth="1"/>
    <col min="7951" max="7953" width="9.42578125" customWidth="1"/>
    <col min="7954" max="7954" width="0.140625" customWidth="1"/>
    <col min="8188" max="8188" width="5.140625" customWidth="1"/>
    <col min="8189" max="8189" width="14.28515625" customWidth="1"/>
    <col min="8190" max="8190" width="40.28515625" customWidth="1"/>
    <col min="8191" max="8191" width="4.5703125" customWidth="1"/>
    <col min="8192" max="8192" width="8.42578125" customWidth="1"/>
    <col min="8193" max="8193" width="12.7109375" customWidth="1"/>
    <col min="8194" max="8194" width="14.5703125" customWidth="1"/>
    <col min="8195" max="8195" width="7.5703125" customWidth="1"/>
    <col min="8196" max="8196" width="14.42578125" customWidth="1"/>
    <col min="8197" max="8197" width="11.28515625" customWidth="1"/>
    <col min="8198" max="8198" width="7.5703125" customWidth="1"/>
    <col min="8199" max="8204" width="12.5703125" customWidth="1"/>
    <col min="8205" max="8205" width="21.7109375" customWidth="1"/>
    <col min="8206" max="8206" width="12.7109375" customWidth="1"/>
    <col min="8207" max="8209" width="9.42578125" customWidth="1"/>
    <col min="8210" max="8210" width="0.140625" customWidth="1"/>
    <col min="8444" max="8444" width="5.140625" customWidth="1"/>
    <col min="8445" max="8445" width="14.28515625" customWidth="1"/>
    <col min="8446" max="8446" width="40.28515625" customWidth="1"/>
    <col min="8447" max="8447" width="4.5703125" customWidth="1"/>
    <col min="8448" max="8448" width="8.42578125" customWidth="1"/>
    <col min="8449" max="8449" width="12.7109375" customWidth="1"/>
    <col min="8450" max="8450" width="14.5703125" customWidth="1"/>
    <col min="8451" max="8451" width="7.5703125" customWidth="1"/>
    <col min="8452" max="8452" width="14.42578125" customWidth="1"/>
    <col min="8453" max="8453" width="11.28515625" customWidth="1"/>
    <col min="8454" max="8454" width="7.5703125" customWidth="1"/>
    <col min="8455" max="8460" width="12.5703125" customWidth="1"/>
    <col min="8461" max="8461" width="21.7109375" customWidth="1"/>
    <col min="8462" max="8462" width="12.7109375" customWidth="1"/>
    <col min="8463" max="8465" width="9.42578125" customWidth="1"/>
    <col min="8466" max="8466" width="0.140625" customWidth="1"/>
    <col min="8700" max="8700" width="5.140625" customWidth="1"/>
    <col min="8701" max="8701" width="14.28515625" customWidth="1"/>
    <col min="8702" max="8702" width="40.28515625" customWidth="1"/>
    <col min="8703" max="8703" width="4.5703125" customWidth="1"/>
    <col min="8704" max="8704" width="8.42578125" customWidth="1"/>
    <col min="8705" max="8705" width="12.7109375" customWidth="1"/>
    <col min="8706" max="8706" width="14.5703125" customWidth="1"/>
    <col min="8707" max="8707" width="7.5703125" customWidth="1"/>
    <col min="8708" max="8708" width="14.42578125" customWidth="1"/>
    <col min="8709" max="8709" width="11.28515625" customWidth="1"/>
    <col min="8710" max="8710" width="7.5703125" customWidth="1"/>
    <col min="8711" max="8716" width="12.5703125" customWidth="1"/>
    <col min="8717" max="8717" width="21.7109375" customWidth="1"/>
    <col min="8718" max="8718" width="12.7109375" customWidth="1"/>
    <col min="8719" max="8721" width="9.42578125" customWidth="1"/>
    <col min="8722" max="8722" width="0.140625" customWidth="1"/>
    <col min="8956" max="8956" width="5.140625" customWidth="1"/>
    <col min="8957" max="8957" width="14.28515625" customWidth="1"/>
    <col min="8958" max="8958" width="40.28515625" customWidth="1"/>
    <col min="8959" max="8959" width="4.5703125" customWidth="1"/>
    <col min="8960" max="8960" width="8.42578125" customWidth="1"/>
    <col min="8961" max="8961" width="12.7109375" customWidth="1"/>
    <col min="8962" max="8962" width="14.5703125" customWidth="1"/>
    <col min="8963" max="8963" width="7.5703125" customWidth="1"/>
    <col min="8964" max="8964" width="14.42578125" customWidth="1"/>
    <col min="8965" max="8965" width="11.28515625" customWidth="1"/>
    <col min="8966" max="8966" width="7.5703125" customWidth="1"/>
    <col min="8967" max="8972" width="12.5703125" customWidth="1"/>
    <col min="8973" max="8973" width="21.7109375" customWidth="1"/>
    <col min="8974" max="8974" width="12.7109375" customWidth="1"/>
    <col min="8975" max="8977" width="9.42578125" customWidth="1"/>
    <col min="8978" max="8978" width="0.140625" customWidth="1"/>
    <col min="9212" max="9212" width="5.140625" customWidth="1"/>
    <col min="9213" max="9213" width="14.28515625" customWidth="1"/>
    <col min="9214" max="9214" width="40.28515625" customWidth="1"/>
    <col min="9215" max="9215" width="4.5703125" customWidth="1"/>
    <col min="9216" max="9216" width="8.42578125" customWidth="1"/>
    <col min="9217" max="9217" width="12.7109375" customWidth="1"/>
    <col min="9218" max="9218" width="14.5703125" customWidth="1"/>
    <col min="9219" max="9219" width="7.5703125" customWidth="1"/>
    <col min="9220" max="9220" width="14.42578125" customWidth="1"/>
    <col min="9221" max="9221" width="11.28515625" customWidth="1"/>
    <col min="9222" max="9222" width="7.5703125" customWidth="1"/>
    <col min="9223" max="9228" width="12.5703125" customWidth="1"/>
    <col min="9229" max="9229" width="21.7109375" customWidth="1"/>
    <col min="9230" max="9230" width="12.7109375" customWidth="1"/>
    <col min="9231" max="9233" width="9.42578125" customWidth="1"/>
    <col min="9234" max="9234" width="0.140625" customWidth="1"/>
    <col min="9468" max="9468" width="5.140625" customWidth="1"/>
    <col min="9469" max="9469" width="14.28515625" customWidth="1"/>
    <col min="9470" max="9470" width="40.28515625" customWidth="1"/>
    <col min="9471" max="9471" width="4.5703125" customWidth="1"/>
    <col min="9472" max="9472" width="8.42578125" customWidth="1"/>
    <col min="9473" max="9473" width="12.7109375" customWidth="1"/>
    <col min="9474" max="9474" width="14.5703125" customWidth="1"/>
    <col min="9475" max="9475" width="7.5703125" customWidth="1"/>
    <col min="9476" max="9476" width="14.42578125" customWidth="1"/>
    <col min="9477" max="9477" width="11.28515625" customWidth="1"/>
    <col min="9478" max="9478" width="7.5703125" customWidth="1"/>
    <col min="9479" max="9484" width="12.5703125" customWidth="1"/>
    <col min="9485" max="9485" width="21.7109375" customWidth="1"/>
    <col min="9486" max="9486" width="12.7109375" customWidth="1"/>
    <col min="9487" max="9489" width="9.42578125" customWidth="1"/>
    <col min="9490" max="9490" width="0.140625" customWidth="1"/>
    <col min="9724" max="9724" width="5.140625" customWidth="1"/>
    <col min="9725" max="9725" width="14.28515625" customWidth="1"/>
    <col min="9726" max="9726" width="40.28515625" customWidth="1"/>
    <col min="9727" max="9727" width="4.5703125" customWidth="1"/>
    <col min="9728" max="9728" width="8.42578125" customWidth="1"/>
    <col min="9729" max="9729" width="12.7109375" customWidth="1"/>
    <col min="9730" max="9730" width="14.5703125" customWidth="1"/>
    <col min="9731" max="9731" width="7.5703125" customWidth="1"/>
    <col min="9732" max="9732" width="14.42578125" customWidth="1"/>
    <col min="9733" max="9733" width="11.28515625" customWidth="1"/>
    <col min="9734" max="9734" width="7.5703125" customWidth="1"/>
    <col min="9735" max="9740" width="12.5703125" customWidth="1"/>
    <col min="9741" max="9741" width="21.7109375" customWidth="1"/>
    <col min="9742" max="9742" width="12.7109375" customWidth="1"/>
    <col min="9743" max="9745" width="9.42578125" customWidth="1"/>
    <col min="9746" max="9746" width="0.140625" customWidth="1"/>
    <col min="9980" max="9980" width="5.140625" customWidth="1"/>
    <col min="9981" max="9981" width="14.28515625" customWidth="1"/>
    <col min="9982" max="9982" width="40.28515625" customWidth="1"/>
    <col min="9983" max="9983" width="4.5703125" customWidth="1"/>
    <col min="9984" max="9984" width="8.42578125" customWidth="1"/>
    <col min="9985" max="9985" width="12.7109375" customWidth="1"/>
    <col min="9986" max="9986" width="14.5703125" customWidth="1"/>
    <col min="9987" max="9987" width="7.5703125" customWidth="1"/>
    <col min="9988" max="9988" width="14.42578125" customWidth="1"/>
    <col min="9989" max="9989" width="11.28515625" customWidth="1"/>
    <col min="9990" max="9990" width="7.5703125" customWidth="1"/>
    <col min="9991" max="9996" width="12.5703125" customWidth="1"/>
    <col min="9997" max="9997" width="21.7109375" customWidth="1"/>
    <col min="9998" max="9998" width="12.7109375" customWidth="1"/>
    <col min="9999" max="10001" width="9.42578125" customWidth="1"/>
    <col min="10002" max="10002" width="0.140625" customWidth="1"/>
    <col min="10236" max="10236" width="5.140625" customWidth="1"/>
    <col min="10237" max="10237" width="14.28515625" customWidth="1"/>
    <col min="10238" max="10238" width="40.28515625" customWidth="1"/>
    <col min="10239" max="10239" width="4.5703125" customWidth="1"/>
    <col min="10240" max="10240" width="8.42578125" customWidth="1"/>
    <col min="10241" max="10241" width="12.7109375" customWidth="1"/>
    <col min="10242" max="10242" width="14.5703125" customWidth="1"/>
    <col min="10243" max="10243" width="7.5703125" customWidth="1"/>
    <col min="10244" max="10244" width="14.42578125" customWidth="1"/>
    <col min="10245" max="10245" width="11.28515625" customWidth="1"/>
    <col min="10246" max="10246" width="7.5703125" customWidth="1"/>
    <col min="10247" max="10252" width="12.5703125" customWidth="1"/>
    <col min="10253" max="10253" width="21.7109375" customWidth="1"/>
    <col min="10254" max="10254" width="12.7109375" customWidth="1"/>
    <col min="10255" max="10257" width="9.42578125" customWidth="1"/>
    <col min="10258" max="10258" width="0.140625" customWidth="1"/>
    <col min="10492" max="10492" width="5.140625" customWidth="1"/>
    <col min="10493" max="10493" width="14.28515625" customWidth="1"/>
    <col min="10494" max="10494" width="40.28515625" customWidth="1"/>
    <col min="10495" max="10495" width="4.5703125" customWidth="1"/>
    <col min="10496" max="10496" width="8.42578125" customWidth="1"/>
    <col min="10497" max="10497" width="12.7109375" customWidth="1"/>
    <col min="10498" max="10498" width="14.5703125" customWidth="1"/>
    <col min="10499" max="10499" width="7.5703125" customWidth="1"/>
    <col min="10500" max="10500" width="14.42578125" customWidth="1"/>
    <col min="10501" max="10501" width="11.28515625" customWidth="1"/>
    <col min="10502" max="10502" width="7.5703125" customWidth="1"/>
    <col min="10503" max="10508" width="12.5703125" customWidth="1"/>
    <col min="10509" max="10509" width="21.7109375" customWidth="1"/>
    <col min="10510" max="10510" width="12.7109375" customWidth="1"/>
    <col min="10511" max="10513" width="9.42578125" customWidth="1"/>
    <col min="10514" max="10514" width="0.140625" customWidth="1"/>
    <col min="10748" max="10748" width="5.140625" customWidth="1"/>
    <col min="10749" max="10749" width="14.28515625" customWidth="1"/>
    <col min="10750" max="10750" width="40.28515625" customWidth="1"/>
    <col min="10751" max="10751" width="4.5703125" customWidth="1"/>
    <col min="10752" max="10752" width="8.42578125" customWidth="1"/>
    <col min="10753" max="10753" width="12.7109375" customWidth="1"/>
    <col min="10754" max="10754" width="14.5703125" customWidth="1"/>
    <col min="10755" max="10755" width="7.5703125" customWidth="1"/>
    <col min="10756" max="10756" width="14.42578125" customWidth="1"/>
    <col min="10757" max="10757" width="11.28515625" customWidth="1"/>
    <col min="10758" max="10758" width="7.5703125" customWidth="1"/>
    <col min="10759" max="10764" width="12.5703125" customWidth="1"/>
    <col min="10765" max="10765" width="21.7109375" customWidth="1"/>
    <col min="10766" max="10766" width="12.7109375" customWidth="1"/>
    <col min="10767" max="10769" width="9.42578125" customWidth="1"/>
    <col min="10770" max="10770" width="0.140625" customWidth="1"/>
    <col min="11004" max="11004" width="5.140625" customWidth="1"/>
    <col min="11005" max="11005" width="14.28515625" customWidth="1"/>
    <col min="11006" max="11006" width="40.28515625" customWidth="1"/>
    <col min="11007" max="11007" width="4.5703125" customWidth="1"/>
    <col min="11008" max="11008" width="8.42578125" customWidth="1"/>
    <col min="11009" max="11009" width="12.7109375" customWidth="1"/>
    <col min="11010" max="11010" width="14.5703125" customWidth="1"/>
    <col min="11011" max="11011" width="7.5703125" customWidth="1"/>
    <col min="11012" max="11012" width="14.42578125" customWidth="1"/>
    <col min="11013" max="11013" width="11.28515625" customWidth="1"/>
    <col min="11014" max="11014" width="7.5703125" customWidth="1"/>
    <col min="11015" max="11020" width="12.5703125" customWidth="1"/>
    <col min="11021" max="11021" width="21.7109375" customWidth="1"/>
    <col min="11022" max="11022" width="12.7109375" customWidth="1"/>
    <col min="11023" max="11025" width="9.42578125" customWidth="1"/>
    <col min="11026" max="11026" width="0.140625" customWidth="1"/>
    <col min="11260" max="11260" width="5.140625" customWidth="1"/>
    <col min="11261" max="11261" width="14.28515625" customWidth="1"/>
    <col min="11262" max="11262" width="40.28515625" customWidth="1"/>
    <col min="11263" max="11263" width="4.5703125" customWidth="1"/>
    <col min="11264" max="11264" width="8.42578125" customWidth="1"/>
    <col min="11265" max="11265" width="12.7109375" customWidth="1"/>
    <col min="11266" max="11266" width="14.5703125" customWidth="1"/>
    <col min="11267" max="11267" width="7.5703125" customWidth="1"/>
    <col min="11268" max="11268" width="14.42578125" customWidth="1"/>
    <col min="11269" max="11269" width="11.28515625" customWidth="1"/>
    <col min="11270" max="11270" width="7.5703125" customWidth="1"/>
    <col min="11271" max="11276" width="12.5703125" customWidth="1"/>
    <col min="11277" max="11277" width="21.7109375" customWidth="1"/>
    <col min="11278" max="11278" width="12.7109375" customWidth="1"/>
    <col min="11279" max="11281" width="9.42578125" customWidth="1"/>
    <col min="11282" max="11282" width="0.140625" customWidth="1"/>
    <col min="11516" max="11516" width="5.140625" customWidth="1"/>
    <col min="11517" max="11517" width="14.28515625" customWidth="1"/>
    <col min="11518" max="11518" width="40.28515625" customWidth="1"/>
    <col min="11519" max="11519" width="4.5703125" customWidth="1"/>
    <col min="11520" max="11520" width="8.42578125" customWidth="1"/>
    <col min="11521" max="11521" width="12.7109375" customWidth="1"/>
    <col min="11522" max="11522" width="14.5703125" customWidth="1"/>
    <col min="11523" max="11523" width="7.5703125" customWidth="1"/>
    <col min="11524" max="11524" width="14.42578125" customWidth="1"/>
    <col min="11525" max="11525" width="11.28515625" customWidth="1"/>
    <col min="11526" max="11526" width="7.5703125" customWidth="1"/>
    <col min="11527" max="11532" width="12.5703125" customWidth="1"/>
    <col min="11533" max="11533" width="21.7109375" customWidth="1"/>
    <col min="11534" max="11534" width="12.7109375" customWidth="1"/>
    <col min="11535" max="11537" width="9.42578125" customWidth="1"/>
    <col min="11538" max="11538" width="0.140625" customWidth="1"/>
    <col min="11772" max="11772" width="5.140625" customWidth="1"/>
    <col min="11773" max="11773" width="14.28515625" customWidth="1"/>
    <col min="11774" max="11774" width="40.28515625" customWidth="1"/>
    <col min="11775" max="11775" width="4.5703125" customWidth="1"/>
    <col min="11776" max="11776" width="8.42578125" customWidth="1"/>
    <col min="11777" max="11777" width="12.7109375" customWidth="1"/>
    <col min="11778" max="11778" width="14.5703125" customWidth="1"/>
    <col min="11779" max="11779" width="7.5703125" customWidth="1"/>
    <col min="11780" max="11780" width="14.42578125" customWidth="1"/>
    <col min="11781" max="11781" width="11.28515625" customWidth="1"/>
    <col min="11782" max="11782" width="7.5703125" customWidth="1"/>
    <col min="11783" max="11788" width="12.5703125" customWidth="1"/>
    <col min="11789" max="11789" width="21.7109375" customWidth="1"/>
    <col min="11790" max="11790" width="12.7109375" customWidth="1"/>
    <col min="11791" max="11793" width="9.42578125" customWidth="1"/>
    <col min="11794" max="11794" width="0.140625" customWidth="1"/>
    <col min="12028" max="12028" width="5.140625" customWidth="1"/>
    <col min="12029" max="12029" width="14.28515625" customWidth="1"/>
    <col min="12030" max="12030" width="40.28515625" customWidth="1"/>
    <col min="12031" max="12031" width="4.5703125" customWidth="1"/>
    <col min="12032" max="12032" width="8.42578125" customWidth="1"/>
    <col min="12033" max="12033" width="12.7109375" customWidth="1"/>
    <col min="12034" max="12034" width="14.5703125" customWidth="1"/>
    <col min="12035" max="12035" width="7.5703125" customWidth="1"/>
    <col min="12036" max="12036" width="14.42578125" customWidth="1"/>
    <col min="12037" max="12037" width="11.28515625" customWidth="1"/>
    <col min="12038" max="12038" width="7.5703125" customWidth="1"/>
    <col min="12039" max="12044" width="12.5703125" customWidth="1"/>
    <col min="12045" max="12045" width="21.7109375" customWidth="1"/>
    <col min="12046" max="12046" width="12.7109375" customWidth="1"/>
    <col min="12047" max="12049" width="9.42578125" customWidth="1"/>
    <col min="12050" max="12050" width="0.140625" customWidth="1"/>
    <col min="12284" max="12284" width="5.140625" customWidth="1"/>
    <col min="12285" max="12285" width="14.28515625" customWidth="1"/>
    <col min="12286" max="12286" width="40.28515625" customWidth="1"/>
    <col min="12287" max="12287" width="4.5703125" customWidth="1"/>
    <col min="12288" max="12288" width="8.42578125" customWidth="1"/>
    <col min="12289" max="12289" width="12.7109375" customWidth="1"/>
    <col min="12290" max="12290" width="14.5703125" customWidth="1"/>
    <col min="12291" max="12291" width="7.5703125" customWidth="1"/>
    <col min="12292" max="12292" width="14.42578125" customWidth="1"/>
    <col min="12293" max="12293" width="11.28515625" customWidth="1"/>
    <col min="12294" max="12294" width="7.5703125" customWidth="1"/>
    <col min="12295" max="12300" width="12.5703125" customWidth="1"/>
    <col min="12301" max="12301" width="21.7109375" customWidth="1"/>
    <col min="12302" max="12302" width="12.7109375" customWidth="1"/>
    <col min="12303" max="12305" width="9.42578125" customWidth="1"/>
    <col min="12306" max="12306" width="0.140625" customWidth="1"/>
    <col min="12540" max="12540" width="5.140625" customWidth="1"/>
    <col min="12541" max="12541" width="14.28515625" customWidth="1"/>
    <col min="12542" max="12542" width="40.28515625" customWidth="1"/>
    <col min="12543" max="12543" width="4.5703125" customWidth="1"/>
    <col min="12544" max="12544" width="8.42578125" customWidth="1"/>
    <col min="12545" max="12545" width="12.7109375" customWidth="1"/>
    <col min="12546" max="12546" width="14.5703125" customWidth="1"/>
    <col min="12547" max="12547" width="7.5703125" customWidth="1"/>
    <col min="12548" max="12548" width="14.42578125" customWidth="1"/>
    <col min="12549" max="12549" width="11.28515625" customWidth="1"/>
    <col min="12550" max="12550" width="7.5703125" customWidth="1"/>
    <col min="12551" max="12556" width="12.5703125" customWidth="1"/>
    <col min="12557" max="12557" width="21.7109375" customWidth="1"/>
    <col min="12558" max="12558" width="12.7109375" customWidth="1"/>
    <col min="12559" max="12561" width="9.42578125" customWidth="1"/>
    <col min="12562" max="12562" width="0.140625" customWidth="1"/>
    <col min="12796" max="12796" width="5.140625" customWidth="1"/>
    <col min="12797" max="12797" width="14.28515625" customWidth="1"/>
    <col min="12798" max="12798" width="40.28515625" customWidth="1"/>
    <col min="12799" max="12799" width="4.5703125" customWidth="1"/>
    <col min="12800" max="12800" width="8.42578125" customWidth="1"/>
    <col min="12801" max="12801" width="12.7109375" customWidth="1"/>
    <col min="12802" max="12802" width="14.5703125" customWidth="1"/>
    <col min="12803" max="12803" width="7.5703125" customWidth="1"/>
    <col min="12804" max="12804" width="14.42578125" customWidth="1"/>
    <col min="12805" max="12805" width="11.28515625" customWidth="1"/>
    <col min="12806" max="12806" width="7.5703125" customWidth="1"/>
    <col min="12807" max="12812" width="12.5703125" customWidth="1"/>
    <col min="12813" max="12813" width="21.7109375" customWidth="1"/>
    <col min="12814" max="12814" width="12.7109375" customWidth="1"/>
    <col min="12815" max="12817" width="9.42578125" customWidth="1"/>
    <col min="12818" max="12818" width="0.140625" customWidth="1"/>
    <col min="13052" max="13052" width="5.140625" customWidth="1"/>
    <col min="13053" max="13053" width="14.28515625" customWidth="1"/>
    <col min="13054" max="13054" width="40.28515625" customWidth="1"/>
    <col min="13055" max="13055" width="4.5703125" customWidth="1"/>
    <col min="13056" max="13056" width="8.42578125" customWidth="1"/>
    <col min="13057" max="13057" width="12.7109375" customWidth="1"/>
    <col min="13058" max="13058" width="14.5703125" customWidth="1"/>
    <col min="13059" max="13059" width="7.5703125" customWidth="1"/>
    <col min="13060" max="13060" width="14.42578125" customWidth="1"/>
    <col min="13061" max="13061" width="11.28515625" customWidth="1"/>
    <col min="13062" max="13062" width="7.5703125" customWidth="1"/>
    <col min="13063" max="13068" width="12.5703125" customWidth="1"/>
    <col min="13069" max="13069" width="21.7109375" customWidth="1"/>
    <col min="13070" max="13070" width="12.7109375" customWidth="1"/>
    <col min="13071" max="13073" width="9.42578125" customWidth="1"/>
    <col min="13074" max="13074" width="0.140625" customWidth="1"/>
    <col min="13308" max="13308" width="5.140625" customWidth="1"/>
    <col min="13309" max="13309" width="14.28515625" customWidth="1"/>
    <col min="13310" max="13310" width="40.28515625" customWidth="1"/>
    <col min="13311" max="13311" width="4.5703125" customWidth="1"/>
    <col min="13312" max="13312" width="8.42578125" customWidth="1"/>
    <col min="13313" max="13313" width="12.7109375" customWidth="1"/>
    <col min="13314" max="13314" width="14.5703125" customWidth="1"/>
    <col min="13315" max="13315" width="7.5703125" customWidth="1"/>
    <col min="13316" max="13316" width="14.42578125" customWidth="1"/>
    <col min="13317" max="13317" width="11.28515625" customWidth="1"/>
    <col min="13318" max="13318" width="7.5703125" customWidth="1"/>
    <col min="13319" max="13324" width="12.5703125" customWidth="1"/>
    <col min="13325" max="13325" width="21.7109375" customWidth="1"/>
    <col min="13326" max="13326" width="12.7109375" customWidth="1"/>
    <col min="13327" max="13329" width="9.42578125" customWidth="1"/>
    <col min="13330" max="13330" width="0.140625" customWidth="1"/>
    <col min="13564" max="13564" width="5.140625" customWidth="1"/>
    <col min="13565" max="13565" width="14.28515625" customWidth="1"/>
    <col min="13566" max="13566" width="40.28515625" customWidth="1"/>
    <col min="13567" max="13567" width="4.5703125" customWidth="1"/>
    <col min="13568" max="13568" width="8.42578125" customWidth="1"/>
    <col min="13569" max="13569" width="12.7109375" customWidth="1"/>
    <col min="13570" max="13570" width="14.5703125" customWidth="1"/>
    <col min="13571" max="13571" width="7.5703125" customWidth="1"/>
    <col min="13572" max="13572" width="14.42578125" customWidth="1"/>
    <col min="13573" max="13573" width="11.28515625" customWidth="1"/>
    <col min="13574" max="13574" width="7.5703125" customWidth="1"/>
    <col min="13575" max="13580" width="12.5703125" customWidth="1"/>
    <col min="13581" max="13581" width="21.7109375" customWidth="1"/>
    <col min="13582" max="13582" width="12.7109375" customWidth="1"/>
    <col min="13583" max="13585" width="9.42578125" customWidth="1"/>
    <col min="13586" max="13586" width="0.140625" customWidth="1"/>
    <col min="13820" max="13820" width="5.140625" customWidth="1"/>
    <col min="13821" max="13821" width="14.28515625" customWidth="1"/>
    <col min="13822" max="13822" width="40.28515625" customWidth="1"/>
    <col min="13823" max="13823" width="4.5703125" customWidth="1"/>
    <col min="13824" max="13824" width="8.42578125" customWidth="1"/>
    <col min="13825" max="13825" width="12.7109375" customWidth="1"/>
    <col min="13826" max="13826" width="14.5703125" customWidth="1"/>
    <col min="13827" max="13827" width="7.5703125" customWidth="1"/>
    <col min="13828" max="13828" width="14.42578125" customWidth="1"/>
    <col min="13829" max="13829" width="11.28515625" customWidth="1"/>
    <col min="13830" max="13830" width="7.5703125" customWidth="1"/>
    <col min="13831" max="13836" width="12.5703125" customWidth="1"/>
    <col min="13837" max="13837" width="21.7109375" customWidth="1"/>
    <col min="13838" max="13838" width="12.7109375" customWidth="1"/>
    <col min="13839" max="13841" width="9.42578125" customWidth="1"/>
    <col min="13842" max="13842" width="0.140625" customWidth="1"/>
    <col min="14076" max="14076" width="5.140625" customWidth="1"/>
    <col min="14077" max="14077" width="14.28515625" customWidth="1"/>
    <col min="14078" max="14078" width="40.28515625" customWidth="1"/>
    <col min="14079" max="14079" width="4.5703125" customWidth="1"/>
    <col min="14080" max="14080" width="8.42578125" customWidth="1"/>
    <col min="14081" max="14081" width="12.7109375" customWidth="1"/>
    <col min="14082" max="14082" width="14.5703125" customWidth="1"/>
    <col min="14083" max="14083" width="7.5703125" customWidth="1"/>
    <col min="14084" max="14084" width="14.42578125" customWidth="1"/>
    <col min="14085" max="14085" width="11.28515625" customWidth="1"/>
    <col min="14086" max="14086" width="7.5703125" customWidth="1"/>
    <col min="14087" max="14092" width="12.5703125" customWidth="1"/>
    <col min="14093" max="14093" width="21.7109375" customWidth="1"/>
    <col min="14094" max="14094" width="12.7109375" customWidth="1"/>
    <col min="14095" max="14097" width="9.42578125" customWidth="1"/>
    <col min="14098" max="14098" width="0.140625" customWidth="1"/>
    <col min="14332" max="14332" width="5.140625" customWidth="1"/>
    <col min="14333" max="14333" width="14.28515625" customWidth="1"/>
    <col min="14334" max="14334" width="40.28515625" customWidth="1"/>
    <col min="14335" max="14335" width="4.5703125" customWidth="1"/>
    <col min="14336" max="14336" width="8.42578125" customWidth="1"/>
    <col min="14337" max="14337" width="12.7109375" customWidth="1"/>
    <col min="14338" max="14338" width="14.5703125" customWidth="1"/>
    <col min="14339" max="14339" width="7.5703125" customWidth="1"/>
    <col min="14340" max="14340" width="14.42578125" customWidth="1"/>
    <col min="14341" max="14341" width="11.28515625" customWidth="1"/>
    <col min="14342" max="14342" width="7.5703125" customWidth="1"/>
    <col min="14343" max="14348" width="12.5703125" customWidth="1"/>
    <col min="14349" max="14349" width="21.7109375" customWidth="1"/>
    <col min="14350" max="14350" width="12.7109375" customWidth="1"/>
    <col min="14351" max="14353" width="9.42578125" customWidth="1"/>
    <col min="14354" max="14354" width="0.140625" customWidth="1"/>
    <col min="14588" max="14588" width="5.140625" customWidth="1"/>
    <col min="14589" max="14589" width="14.28515625" customWidth="1"/>
    <col min="14590" max="14590" width="40.28515625" customWidth="1"/>
    <col min="14591" max="14591" width="4.5703125" customWidth="1"/>
    <col min="14592" max="14592" width="8.42578125" customWidth="1"/>
    <col min="14593" max="14593" width="12.7109375" customWidth="1"/>
    <col min="14594" max="14594" width="14.5703125" customWidth="1"/>
    <col min="14595" max="14595" width="7.5703125" customWidth="1"/>
    <col min="14596" max="14596" width="14.42578125" customWidth="1"/>
    <col min="14597" max="14597" width="11.28515625" customWidth="1"/>
    <col min="14598" max="14598" width="7.5703125" customWidth="1"/>
    <col min="14599" max="14604" width="12.5703125" customWidth="1"/>
    <col min="14605" max="14605" width="21.7109375" customWidth="1"/>
    <col min="14606" max="14606" width="12.7109375" customWidth="1"/>
    <col min="14607" max="14609" width="9.42578125" customWidth="1"/>
    <col min="14610" max="14610" width="0.140625" customWidth="1"/>
    <col min="14844" max="14844" width="5.140625" customWidth="1"/>
    <col min="14845" max="14845" width="14.28515625" customWidth="1"/>
    <col min="14846" max="14846" width="40.28515625" customWidth="1"/>
    <col min="14847" max="14847" width="4.5703125" customWidth="1"/>
    <col min="14848" max="14848" width="8.42578125" customWidth="1"/>
    <col min="14849" max="14849" width="12.7109375" customWidth="1"/>
    <col min="14850" max="14850" width="14.5703125" customWidth="1"/>
    <col min="14851" max="14851" width="7.5703125" customWidth="1"/>
    <col min="14852" max="14852" width="14.42578125" customWidth="1"/>
    <col min="14853" max="14853" width="11.28515625" customWidth="1"/>
    <col min="14854" max="14854" width="7.5703125" customWidth="1"/>
    <col min="14855" max="14860" width="12.5703125" customWidth="1"/>
    <col min="14861" max="14861" width="21.7109375" customWidth="1"/>
    <col min="14862" max="14862" width="12.7109375" customWidth="1"/>
    <col min="14863" max="14865" width="9.42578125" customWidth="1"/>
    <col min="14866" max="14866" width="0.140625" customWidth="1"/>
    <col min="15100" max="15100" width="5.140625" customWidth="1"/>
    <col min="15101" max="15101" width="14.28515625" customWidth="1"/>
    <col min="15102" max="15102" width="40.28515625" customWidth="1"/>
    <col min="15103" max="15103" width="4.5703125" customWidth="1"/>
    <col min="15104" max="15104" width="8.42578125" customWidth="1"/>
    <col min="15105" max="15105" width="12.7109375" customWidth="1"/>
    <col min="15106" max="15106" width="14.5703125" customWidth="1"/>
    <col min="15107" max="15107" width="7.5703125" customWidth="1"/>
    <col min="15108" max="15108" width="14.42578125" customWidth="1"/>
    <col min="15109" max="15109" width="11.28515625" customWidth="1"/>
    <col min="15110" max="15110" width="7.5703125" customWidth="1"/>
    <col min="15111" max="15116" width="12.5703125" customWidth="1"/>
    <col min="15117" max="15117" width="21.7109375" customWidth="1"/>
    <col min="15118" max="15118" width="12.7109375" customWidth="1"/>
    <col min="15119" max="15121" width="9.42578125" customWidth="1"/>
    <col min="15122" max="15122" width="0.140625" customWidth="1"/>
    <col min="15356" max="15356" width="5.140625" customWidth="1"/>
    <col min="15357" max="15357" width="14.28515625" customWidth="1"/>
    <col min="15358" max="15358" width="40.28515625" customWidth="1"/>
    <col min="15359" max="15359" width="4.5703125" customWidth="1"/>
    <col min="15360" max="15360" width="8.42578125" customWidth="1"/>
    <col min="15361" max="15361" width="12.7109375" customWidth="1"/>
    <col min="15362" max="15362" width="14.5703125" customWidth="1"/>
    <col min="15363" max="15363" width="7.5703125" customWidth="1"/>
    <col min="15364" max="15364" width="14.42578125" customWidth="1"/>
    <col min="15365" max="15365" width="11.28515625" customWidth="1"/>
    <col min="15366" max="15366" width="7.5703125" customWidth="1"/>
    <col min="15367" max="15372" width="12.5703125" customWidth="1"/>
    <col min="15373" max="15373" width="21.7109375" customWidth="1"/>
    <col min="15374" max="15374" width="12.7109375" customWidth="1"/>
    <col min="15375" max="15377" width="9.42578125" customWidth="1"/>
    <col min="15378" max="15378" width="0.140625" customWidth="1"/>
    <col min="15612" max="15612" width="5.140625" customWidth="1"/>
    <col min="15613" max="15613" width="14.28515625" customWidth="1"/>
    <col min="15614" max="15614" width="40.28515625" customWidth="1"/>
    <col min="15615" max="15615" width="4.5703125" customWidth="1"/>
    <col min="15616" max="15616" width="8.42578125" customWidth="1"/>
    <col min="15617" max="15617" width="12.7109375" customWidth="1"/>
    <col min="15618" max="15618" width="14.5703125" customWidth="1"/>
    <col min="15619" max="15619" width="7.5703125" customWidth="1"/>
    <col min="15620" max="15620" width="14.42578125" customWidth="1"/>
    <col min="15621" max="15621" width="11.28515625" customWidth="1"/>
    <col min="15622" max="15622" width="7.5703125" customWidth="1"/>
    <col min="15623" max="15628" width="12.5703125" customWidth="1"/>
    <col min="15629" max="15629" width="21.7109375" customWidth="1"/>
    <col min="15630" max="15630" width="12.7109375" customWidth="1"/>
    <col min="15631" max="15633" width="9.42578125" customWidth="1"/>
    <col min="15634" max="15634" width="0.140625" customWidth="1"/>
    <col min="15868" max="15868" width="5.140625" customWidth="1"/>
    <col min="15869" max="15869" width="14.28515625" customWidth="1"/>
    <col min="15870" max="15870" width="40.28515625" customWidth="1"/>
    <col min="15871" max="15871" width="4.5703125" customWidth="1"/>
    <col min="15872" max="15872" width="8.42578125" customWidth="1"/>
    <col min="15873" max="15873" width="12.7109375" customWidth="1"/>
    <col min="15874" max="15874" width="14.5703125" customWidth="1"/>
    <col min="15875" max="15875" width="7.5703125" customWidth="1"/>
    <col min="15876" max="15876" width="14.42578125" customWidth="1"/>
    <col min="15877" max="15877" width="11.28515625" customWidth="1"/>
    <col min="15878" max="15878" width="7.5703125" customWidth="1"/>
    <col min="15879" max="15884" width="12.5703125" customWidth="1"/>
    <col min="15885" max="15885" width="21.7109375" customWidth="1"/>
    <col min="15886" max="15886" width="12.7109375" customWidth="1"/>
    <col min="15887" max="15889" width="9.42578125" customWidth="1"/>
    <col min="15890" max="15890" width="0.140625" customWidth="1"/>
    <col min="16124" max="16124" width="5.140625" customWidth="1"/>
    <col min="16125" max="16125" width="14.28515625" customWidth="1"/>
    <col min="16126" max="16126" width="40.28515625" customWidth="1"/>
    <col min="16127" max="16127" width="4.5703125" customWidth="1"/>
    <col min="16128" max="16128" width="8.42578125" customWidth="1"/>
    <col min="16129" max="16129" width="12.7109375" customWidth="1"/>
    <col min="16130" max="16130" width="14.5703125" customWidth="1"/>
    <col min="16131" max="16131" width="7.5703125" customWidth="1"/>
    <col min="16132" max="16132" width="14.42578125" customWidth="1"/>
    <col min="16133" max="16133" width="11.28515625" customWidth="1"/>
    <col min="16134" max="16134" width="7.5703125" customWidth="1"/>
    <col min="16135" max="16140" width="12.5703125" customWidth="1"/>
    <col min="16141" max="16141" width="21.7109375" customWidth="1"/>
    <col min="16142" max="16142" width="12.7109375" customWidth="1"/>
    <col min="16143" max="16145" width="9.42578125" customWidth="1"/>
    <col min="16146" max="16146" width="0.140625" customWidth="1"/>
  </cols>
  <sheetData>
    <row r="1" spans="1:19" ht="18">
      <c r="A1" s="371" t="s">
        <v>1753</v>
      </c>
      <c r="B1" s="371"/>
      <c r="C1" s="371"/>
      <c r="D1" s="371"/>
      <c r="E1" s="371"/>
      <c r="F1" s="371"/>
      <c r="G1" s="371"/>
      <c r="H1" s="371"/>
    </row>
    <row r="2" spans="1:19">
      <c r="A2" s="317" t="s">
        <v>1752</v>
      </c>
    </row>
    <row r="3" spans="1:19">
      <c r="A3" s="317"/>
    </row>
    <row r="4" spans="1:19" ht="18">
      <c r="A4" s="371"/>
      <c r="B4" s="371"/>
      <c r="C4" s="371"/>
      <c r="D4" s="371"/>
      <c r="E4" s="371"/>
      <c r="F4" s="371"/>
      <c r="G4" s="371"/>
      <c r="H4" s="371"/>
    </row>
    <row r="5" spans="1:19" s="167" customFormat="1" ht="15.95" customHeight="1">
      <c r="A5" s="314" t="s">
        <v>1357</v>
      </c>
      <c r="B5" s="160" t="s">
        <v>1358</v>
      </c>
      <c r="C5" s="160" t="s">
        <v>1359</v>
      </c>
      <c r="D5" s="160" t="s">
        <v>1360</v>
      </c>
      <c r="E5" s="161" t="s">
        <v>1361</v>
      </c>
      <c r="F5" s="161" t="s">
        <v>1362</v>
      </c>
      <c r="G5" s="161" t="s">
        <v>1363</v>
      </c>
      <c r="H5" s="161" t="s">
        <v>738</v>
      </c>
      <c r="I5" s="161" t="s">
        <v>1364</v>
      </c>
      <c r="J5" s="161" t="s">
        <v>1365</v>
      </c>
      <c r="K5" s="162" t="s">
        <v>1366</v>
      </c>
      <c r="L5" s="161" t="s">
        <v>1181</v>
      </c>
      <c r="M5" s="163" t="s">
        <v>1367</v>
      </c>
      <c r="N5" s="164" t="s">
        <v>1182</v>
      </c>
      <c r="O5" s="165" t="s">
        <v>1368</v>
      </c>
      <c r="P5" s="165" t="s">
        <v>1369</v>
      </c>
      <c r="Q5" s="165" t="s">
        <v>1370</v>
      </c>
      <c r="R5" s="165" t="s">
        <v>1371</v>
      </c>
      <c r="S5" s="166"/>
    </row>
    <row r="6" spans="1:19" s="167" customFormat="1" ht="15.95" customHeight="1">
      <c r="A6" s="315"/>
      <c r="B6" s="168"/>
      <c r="C6" s="169" t="s">
        <v>1372</v>
      </c>
      <c r="D6" s="169" t="s">
        <v>1373</v>
      </c>
      <c r="E6" s="170"/>
      <c r="F6" s="171"/>
      <c r="G6" s="172"/>
      <c r="H6" s="173"/>
      <c r="I6" s="170"/>
      <c r="J6" s="170"/>
      <c r="K6" s="169"/>
      <c r="L6" s="170"/>
      <c r="M6" s="174"/>
      <c r="N6" s="175"/>
      <c r="O6" s="176" t="s">
        <v>1373</v>
      </c>
      <c r="P6" s="176" t="s">
        <v>1373</v>
      </c>
      <c r="Q6" s="176" t="s">
        <v>1373</v>
      </c>
      <c r="R6" s="176" t="s">
        <v>1374</v>
      </c>
    </row>
    <row r="7" spans="1:19" s="167" customFormat="1" ht="15.95" customHeight="1">
      <c r="A7" s="316">
        <v>1</v>
      </c>
      <c r="B7" s="177"/>
      <c r="C7" s="178" t="s">
        <v>1375</v>
      </c>
      <c r="D7" s="178" t="s">
        <v>1376</v>
      </c>
      <c r="E7" s="179">
        <v>1</v>
      </c>
      <c r="F7" s="179"/>
      <c r="G7" s="179"/>
      <c r="H7" s="178"/>
      <c r="I7" s="179"/>
      <c r="J7" s="179"/>
      <c r="K7" s="179"/>
      <c r="L7" s="179"/>
      <c r="M7" s="174"/>
      <c r="N7" s="175"/>
      <c r="O7" s="176"/>
      <c r="P7" s="176"/>
      <c r="Q7" s="176"/>
      <c r="R7" s="176"/>
    </row>
    <row r="8" spans="1:19" s="167" customFormat="1" ht="15.95" customHeight="1">
      <c r="A8" s="316">
        <v>2</v>
      </c>
      <c r="B8" s="177"/>
      <c r="C8" s="178" t="s">
        <v>1377</v>
      </c>
      <c r="D8" s="178" t="s">
        <v>1376</v>
      </c>
      <c r="E8" s="179">
        <v>1</v>
      </c>
      <c r="F8" s="179"/>
      <c r="G8" s="179"/>
      <c r="H8" s="178"/>
      <c r="I8" s="179"/>
      <c r="J8" s="179"/>
      <c r="K8" s="179"/>
      <c r="L8" s="179"/>
      <c r="M8" s="174"/>
      <c r="N8" s="175"/>
      <c r="O8" s="176"/>
      <c r="P8" s="176"/>
      <c r="Q8" s="176"/>
      <c r="R8" s="176"/>
    </row>
    <row r="9" spans="1:19" s="167" customFormat="1" ht="15.95" customHeight="1">
      <c r="A9" s="316"/>
      <c r="B9" s="168"/>
      <c r="C9" s="169" t="s">
        <v>1378</v>
      </c>
      <c r="D9" s="169"/>
      <c r="E9" s="170"/>
      <c r="F9" s="171"/>
      <c r="G9" s="170"/>
      <c r="H9" s="173"/>
      <c r="I9" s="170"/>
      <c r="J9" s="170"/>
      <c r="K9" s="169"/>
      <c r="L9" s="170"/>
      <c r="M9" s="174"/>
      <c r="N9" s="175"/>
      <c r="O9" s="176"/>
      <c r="P9" s="176"/>
      <c r="Q9" s="176"/>
      <c r="R9" s="176"/>
    </row>
    <row r="10" spans="1:19" s="167" customFormat="1" ht="15.95" customHeight="1">
      <c r="A10" s="316"/>
      <c r="B10" s="168" t="s">
        <v>1379</v>
      </c>
      <c r="C10" s="169" t="s">
        <v>1380</v>
      </c>
      <c r="D10" s="169"/>
      <c r="E10" s="170"/>
      <c r="F10" s="171"/>
      <c r="G10" s="170"/>
      <c r="H10" s="173"/>
      <c r="I10" s="170"/>
      <c r="J10" s="170"/>
      <c r="K10" s="169"/>
      <c r="L10" s="170"/>
      <c r="M10" s="174"/>
      <c r="N10" s="175"/>
      <c r="O10" s="176"/>
      <c r="P10" s="176"/>
      <c r="Q10" s="176"/>
      <c r="R10" s="176"/>
    </row>
    <row r="11" spans="1:19" s="167" customFormat="1" ht="15.95" customHeight="1">
      <c r="A11" s="316"/>
      <c r="B11" s="177"/>
      <c r="C11" s="180" t="s">
        <v>1381</v>
      </c>
      <c r="D11" s="178"/>
      <c r="E11" s="179"/>
      <c r="F11" s="179"/>
      <c r="G11" s="179"/>
      <c r="H11" s="181"/>
      <c r="I11" s="179"/>
      <c r="J11" s="179"/>
      <c r="K11" s="179"/>
      <c r="L11" s="179"/>
      <c r="M11" s="174"/>
      <c r="N11" s="175"/>
      <c r="O11" s="182"/>
      <c r="P11" s="182"/>
      <c r="Q11" s="182"/>
      <c r="R11" s="182"/>
    </row>
    <row r="12" spans="1:19" s="167" customFormat="1" ht="15.95" customHeight="1">
      <c r="A12" s="316">
        <v>3</v>
      </c>
      <c r="B12" s="183" t="s">
        <v>1382</v>
      </c>
      <c r="C12" s="178" t="s">
        <v>1383</v>
      </c>
      <c r="D12" s="178" t="s">
        <v>1376</v>
      </c>
      <c r="E12" s="184" t="s">
        <v>1384</v>
      </c>
      <c r="F12" s="184"/>
      <c r="G12" s="185"/>
      <c r="H12" s="184"/>
      <c r="I12" s="179"/>
      <c r="J12" s="179"/>
      <c r="K12" s="179"/>
      <c r="L12" s="179"/>
      <c r="M12" s="174"/>
      <c r="N12" s="175"/>
      <c r="O12" s="182"/>
      <c r="P12" s="182"/>
      <c r="Q12" s="182"/>
      <c r="R12" s="182"/>
    </row>
    <row r="13" spans="1:19" s="167" customFormat="1" ht="15.95" customHeight="1">
      <c r="A13" s="316"/>
      <c r="B13" s="177"/>
      <c r="C13" s="180" t="s">
        <v>1385</v>
      </c>
      <c r="D13" s="178"/>
      <c r="E13" s="179"/>
      <c r="F13" s="179"/>
      <c r="G13" s="185"/>
      <c r="H13" s="181"/>
      <c r="I13" s="179"/>
      <c r="J13" s="179"/>
      <c r="K13" s="179"/>
      <c r="L13" s="179"/>
      <c r="M13" s="174"/>
      <c r="N13" s="175"/>
      <c r="O13" s="182"/>
      <c r="P13" s="182"/>
      <c r="Q13" s="182"/>
      <c r="R13" s="182"/>
    </row>
    <row r="14" spans="1:19" s="167" customFormat="1" ht="15.95" customHeight="1">
      <c r="A14" s="316">
        <v>4</v>
      </c>
      <c r="B14" s="177" t="s">
        <v>1386</v>
      </c>
      <c r="C14" s="178" t="s">
        <v>1387</v>
      </c>
      <c r="D14" s="178" t="s">
        <v>1376</v>
      </c>
      <c r="E14" s="179">
        <v>3</v>
      </c>
      <c r="F14" s="179"/>
      <c r="G14" s="179"/>
      <c r="H14" s="184"/>
      <c r="I14" s="179"/>
      <c r="J14" s="179"/>
      <c r="K14" s="179"/>
      <c r="L14" s="179"/>
      <c r="M14" s="174"/>
      <c r="N14" s="175"/>
      <c r="O14" s="182"/>
      <c r="P14" s="182"/>
      <c r="Q14" s="182"/>
      <c r="R14" s="182"/>
    </row>
    <row r="15" spans="1:19" s="167" customFormat="1" ht="15.95" customHeight="1">
      <c r="A15" s="316"/>
      <c r="B15" s="177"/>
      <c r="C15" s="180" t="s">
        <v>1388</v>
      </c>
      <c r="D15" s="178"/>
      <c r="E15" s="179"/>
      <c r="F15" s="179"/>
      <c r="G15" s="185"/>
      <c r="H15" s="181"/>
      <c r="I15" s="179"/>
      <c r="J15" s="179"/>
      <c r="K15" s="179"/>
      <c r="L15" s="179"/>
      <c r="M15" s="174"/>
      <c r="N15" s="175"/>
      <c r="O15" s="182"/>
      <c r="P15" s="182"/>
      <c r="Q15" s="182"/>
      <c r="R15" s="182"/>
    </row>
    <row r="16" spans="1:19" s="167" customFormat="1" ht="15.95" customHeight="1">
      <c r="A16" s="316">
        <v>5</v>
      </c>
      <c r="B16" s="177" t="s">
        <v>1389</v>
      </c>
      <c r="C16" s="178" t="s">
        <v>1390</v>
      </c>
      <c r="D16" s="178" t="s">
        <v>62</v>
      </c>
      <c r="E16" s="179">
        <v>20</v>
      </c>
      <c r="F16" s="186"/>
      <c r="G16" s="185"/>
      <c r="H16" s="186"/>
      <c r="I16" s="179"/>
      <c r="J16" s="179"/>
      <c r="K16" s="178"/>
      <c r="L16" s="179"/>
      <c r="M16" s="174"/>
      <c r="N16" s="175"/>
      <c r="O16" s="182"/>
      <c r="P16" s="182"/>
      <c r="Q16" s="182"/>
      <c r="R16" s="182"/>
    </row>
    <row r="17" spans="1:18" s="167" customFormat="1" ht="15.95" customHeight="1">
      <c r="A17" s="316"/>
      <c r="B17" s="177"/>
      <c r="C17" s="180" t="s">
        <v>1391</v>
      </c>
      <c r="D17" s="178"/>
      <c r="E17" s="179"/>
      <c r="F17" s="186"/>
      <c r="G17" s="185"/>
      <c r="H17" s="186"/>
      <c r="I17" s="179"/>
      <c r="J17" s="179"/>
      <c r="K17" s="178"/>
      <c r="L17" s="179"/>
      <c r="M17" s="174"/>
      <c r="N17" s="175"/>
      <c r="O17" s="182"/>
      <c r="P17" s="182"/>
      <c r="Q17" s="182"/>
      <c r="R17" s="182"/>
    </row>
    <row r="18" spans="1:18" s="167" customFormat="1" ht="15.95" customHeight="1">
      <c r="A18" s="316">
        <v>6</v>
      </c>
      <c r="B18" s="178" t="s">
        <v>1392</v>
      </c>
      <c r="C18" s="178" t="s">
        <v>1393</v>
      </c>
      <c r="D18" s="178" t="s">
        <v>62</v>
      </c>
      <c r="E18" s="184" t="s">
        <v>1394</v>
      </c>
      <c r="F18" s="184"/>
      <c r="G18" s="185"/>
      <c r="H18" s="184"/>
      <c r="I18" s="179"/>
      <c r="J18" s="179"/>
      <c r="K18" s="184"/>
      <c r="L18" s="179"/>
      <c r="M18" s="174"/>
      <c r="N18" s="175"/>
      <c r="O18" s="182"/>
      <c r="P18" s="182"/>
      <c r="Q18" s="182"/>
      <c r="R18" s="182"/>
    </row>
    <row r="19" spans="1:18" s="167" customFormat="1" ht="15.95" customHeight="1">
      <c r="A19" s="316"/>
      <c r="B19" s="178"/>
      <c r="C19" s="180" t="s">
        <v>1395</v>
      </c>
      <c r="D19" s="178"/>
      <c r="E19" s="178"/>
      <c r="F19" s="178"/>
      <c r="G19" s="185"/>
      <c r="H19" s="178"/>
      <c r="I19" s="179"/>
      <c r="J19" s="179"/>
      <c r="K19" s="178"/>
      <c r="L19" s="179"/>
      <c r="M19" s="174"/>
      <c r="N19" s="175"/>
      <c r="O19" s="182"/>
      <c r="P19" s="182"/>
      <c r="Q19" s="182"/>
      <c r="R19" s="182"/>
    </row>
    <row r="20" spans="1:18" s="167" customFormat="1" ht="15.95" customHeight="1">
      <c r="A20" s="316">
        <v>7</v>
      </c>
      <c r="B20" s="178" t="s">
        <v>1396</v>
      </c>
      <c r="C20" s="178" t="s">
        <v>1397</v>
      </c>
      <c r="D20" s="179" t="s">
        <v>1376</v>
      </c>
      <c r="E20" s="179">
        <v>1</v>
      </c>
      <c r="F20" s="179"/>
      <c r="G20" s="179"/>
      <c r="H20" s="179"/>
      <c r="I20" s="179"/>
      <c r="J20" s="179"/>
      <c r="K20" s="179"/>
      <c r="L20" s="179"/>
      <c r="M20" s="174"/>
      <c r="N20" s="175"/>
      <c r="O20" s="182"/>
      <c r="P20" s="182"/>
      <c r="Q20" s="182"/>
      <c r="R20" s="182"/>
    </row>
    <row r="21" spans="1:18" s="167" customFormat="1" ht="15.95" customHeight="1">
      <c r="A21" s="316">
        <v>8</v>
      </c>
      <c r="B21" s="178" t="s">
        <v>1398</v>
      </c>
      <c r="C21" s="178" t="s">
        <v>1399</v>
      </c>
      <c r="D21" s="179" t="s">
        <v>1376</v>
      </c>
      <c r="E21" s="179">
        <v>2</v>
      </c>
      <c r="F21" s="179"/>
      <c r="G21" s="179"/>
      <c r="H21" s="179"/>
      <c r="I21" s="179"/>
      <c r="J21" s="179"/>
      <c r="K21" s="179"/>
      <c r="L21" s="179"/>
      <c r="M21" s="174"/>
      <c r="N21" s="175"/>
      <c r="O21" s="182"/>
      <c r="P21" s="182"/>
      <c r="Q21" s="182"/>
      <c r="R21" s="182"/>
    </row>
    <row r="22" spans="1:18" s="167" customFormat="1" ht="15.95" customHeight="1">
      <c r="A22" s="316">
        <v>9</v>
      </c>
      <c r="B22" s="178" t="s">
        <v>1400</v>
      </c>
      <c r="C22" s="178" t="s">
        <v>1401</v>
      </c>
      <c r="D22" s="179" t="s">
        <v>1376</v>
      </c>
      <c r="E22" s="179">
        <v>1</v>
      </c>
      <c r="F22" s="179"/>
      <c r="G22" s="179"/>
      <c r="H22" s="179"/>
      <c r="I22" s="179"/>
      <c r="J22" s="179"/>
      <c r="K22" s="179"/>
      <c r="L22" s="179"/>
      <c r="M22" s="174"/>
      <c r="N22" s="175"/>
      <c r="O22" s="182"/>
      <c r="P22" s="182"/>
      <c r="Q22" s="182"/>
      <c r="R22" s="182"/>
    </row>
    <row r="23" spans="1:18" s="167" customFormat="1" ht="15.95" customHeight="1">
      <c r="A23" s="316">
        <v>10</v>
      </c>
      <c r="B23" s="178" t="s">
        <v>1402</v>
      </c>
      <c r="C23" s="178" t="s">
        <v>1403</v>
      </c>
      <c r="D23" s="179" t="s">
        <v>1376</v>
      </c>
      <c r="E23" s="179">
        <v>1</v>
      </c>
      <c r="F23" s="179"/>
      <c r="G23" s="179"/>
      <c r="H23" s="179"/>
      <c r="I23" s="179"/>
      <c r="J23" s="179"/>
      <c r="K23" s="179"/>
      <c r="L23" s="179"/>
      <c r="M23" s="174"/>
      <c r="N23" s="175"/>
      <c r="O23" s="182"/>
      <c r="P23" s="182"/>
      <c r="Q23" s="182"/>
      <c r="R23" s="182"/>
    </row>
    <row r="24" spans="1:18" s="167" customFormat="1" ht="15.95" customHeight="1">
      <c r="A24" s="316">
        <v>11</v>
      </c>
      <c r="B24" s="178" t="s">
        <v>1396</v>
      </c>
      <c r="C24" s="178" t="s">
        <v>1404</v>
      </c>
      <c r="D24" s="179" t="s">
        <v>1376</v>
      </c>
      <c r="E24" s="179">
        <v>1</v>
      </c>
      <c r="F24" s="179"/>
      <c r="G24" s="179"/>
      <c r="H24" s="179"/>
      <c r="I24" s="179"/>
      <c r="J24" s="179"/>
      <c r="K24" s="179"/>
      <c r="L24" s="179"/>
      <c r="M24" s="174"/>
      <c r="N24" s="175"/>
      <c r="O24" s="182"/>
      <c r="P24" s="182"/>
      <c r="Q24" s="182"/>
      <c r="R24" s="182"/>
    </row>
    <row r="25" spans="1:18" s="167" customFormat="1" ht="15.95" customHeight="1">
      <c r="A25" s="316">
        <v>12</v>
      </c>
      <c r="B25" s="178" t="s">
        <v>1405</v>
      </c>
      <c r="C25" s="178" t="s">
        <v>1406</v>
      </c>
      <c r="D25" s="179" t="s">
        <v>1376</v>
      </c>
      <c r="E25" s="179">
        <v>1</v>
      </c>
      <c r="F25" s="179"/>
      <c r="G25" s="179"/>
      <c r="H25" s="179"/>
      <c r="I25" s="179"/>
      <c r="J25" s="179"/>
      <c r="K25" s="179"/>
      <c r="L25" s="179"/>
      <c r="M25" s="174"/>
      <c r="N25" s="175"/>
      <c r="O25" s="182"/>
      <c r="P25" s="182"/>
      <c r="Q25" s="182"/>
      <c r="R25" s="182"/>
    </row>
    <row r="26" spans="1:18" s="167" customFormat="1" ht="15.95" customHeight="1">
      <c r="A26" s="316">
        <v>13</v>
      </c>
      <c r="B26" s="178"/>
      <c r="C26" s="178" t="s">
        <v>1407</v>
      </c>
      <c r="D26" s="179" t="s">
        <v>1376</v>
      </c>
      <c r="E26" s="179">
        <v>1</v>
      </c>
      <c r="F26" s="179"/>
      <c r="G26" s="179"/>
      <c r="H26" s="179"/>
      <c r="I26" s="179"/>
      <c r="J26" s="179"/>
      <c r="K26" s="179"/>
      <c r="L26" s="179"/>
      <c r="M26" s="174"/>
      <c r="N26" s="175"/>
      <c r="O26" s="182"/>
      <c r="P26" s="182"/>
      <c r="Q26" s="182"/>
      <c r="R26" s="182"/>
    </row>
    <row r="27" spans="1:18" s="167" customFormat="1" ht="15.95" customHeight="1">
      <c r="A27" s="316">
        <v>14</v>
      </c>
      <c r="B27" s="178" t="s">
        <v>1408</v>
      </c>
      <c r="C27" s="178" t="s">
        <v>1409</v>
      </c>
      <c r="D27" s="179" t="s">
        <v>1376</v>
      </c>
      <c r="E27" s="179">
        <v>1</v>
      </c>
      <c r="F27" s="179"/>
      <c r="G27" s="179"/>
      <c r="H27" s="179"/>
      <c r="I27" s="179"/>
      <c r="J27" s="179"/>
      <c r="K27" s="179"/>
      <c r="L27" s="179"/>
      <c r="M27" s="174"/>
      <c r="N27" s="175"/>
      <c r="O27" s="182"/>
      <c r="P27" s="182"/>
      <c r="Q27" s="182"/>
      <c r="R27" s="182"/>
    </row>
    <row r="28" spans="1:18" s="167" customFormat="1" ht="15.95" customHeight="1">
      <c r="A28" s="316">
        <v>15</v>
      </c>
      <c r="B28" s="178" t="s">
        <v>1410</v>
      </c>
      <c r="C28" s="178" t="s">
        <v>1411</v>
      </c>
      <c r="D28" s="179" t="s">
        <v>1376</v>
      </c>
      <c r="E28" s="179">
        <v>1</v>
      </c>
      <c r="F28" s="179"/>
      <c r="G28" s="179"/>
      <c r="H28" s="179"/>
      <c r="I28" s="179"/>
      <c r="J28" s="179"/>
      <c r="K28" s="179"/>
      <c r="L28" s="179"/>
      <c r="M28" s="174"/>
      <c r="N28" s="175"/>
      <c r="O28" s="182"/>
      <c r="P28" s="182"/>
      <c r="Q28" s="182"/>
      <c r="R28" s="182"/>
    </row>
    <row r="29" spans="1:18" s="167" customFormat="1" ht="15.95" customHeight="1">
      <c r="A29" s="316"/>
      <c r="B29" s="177"/>
      <c r="C29" s="180" t="s">
        <v>1412</v>
      </c>
      <c r="D29" s="180" t="s">
        <v>1373</v>
      </c>
      <c r="E29" s="187"/>
      <c r="F29" s="187"/>
      <c r="G29" s="179"/>
      <c r="H29" s="180"/>
      <c r="I29" s="179"/>
      <c r="J29" s="179"/>
      <c r="K29" s="178"/>
      <c r="L29" s="179"/>
      <c r="M29" s="174"/>
      <c r="N29" s="175"/>
      <c r="O29" s="182"/>
      <c r="P29" s="182"/>
      <c r="Q29" s="182"/>
      <c r="R29" s="182"/>
    </row>
    <row r="30" spans="1:18" s="167" customFormat="1" ht="15.95" customHeight="1">
      <c r="A30" s="316">
        <v>16</v>
      </c>
      <c r="B30" s="178" t="s">
        <v>1413</v>
      </c>
      <c r="C30" s="178" t="s">
        <v>1414</v>
      </c>
      <c r="D30" s="179" t="s">
        <v>1376</v>
      </c>
      <c r="E30" s="179">
        <v>1</v>
      </c>
      <c r="F30" s="179"/>
      <c r="G30" s="179"/>
      <c r="H30" s="179"/>
      <c r="I30" s="179"/>
      <c r="J30" s="179"/>
      <c r="K30" s="179"/>
      <c r="L30" s="179"/>
      <c r="M30" s="174"/>
      <c r="N30" s="175"/>
      <c r="O30" s="182"/>
      <c r="P30" s="182"/>
      <c r="Q30" s="182"/>
      <c r="R30" s="182"/>
    </row>
    <row r="31" spans="1:18" s="167" customFormat="1" ht="15.95" customHeight="1">
      <c r="A31" s="316"/>
      <c r="B31" s="178"/>
      <c r="C31" s="180" t="s">
        <v>1415</v>
      </c>
      <c r="D31" s="179"/>
      <c r="E31" s="179"/>
      <c r="F31" s="179"/>
      <c r="G31" s="179"/>
      <c r="H31" s="179"/>
      <c r="I31" s="179"/>
      <c r="J31" s="179"/>
      <c r="K31" s="179"/>
      <c r="L31" s="179"/>
      <c r="M31" s="174"/>
      <c r="N31" s="175"/>
      <c r="O31" s="182"/>
      <c r="P31" s="182"/>
      <c r="Q31" s="182"/>
      <c r="R31" s="182"/>
    </row>
    <row r="32" spans="1:18" s="167" customFormat="1" ht="15.95" customHeight="1">
      <c r="A32" s="316">
        <v>17</v>
      </c>
      <c r="B32" s="178" t="s">
        <v>1416</v>
      </c>
      <c r="C32" s="178" t="s">
        <v>1417</v>
      </c>
      <c r="D32" s="178" t="s">
        <v>1376</v>
      </c>
      <c r="E32" s="179">
        <v>1</v>
      </c>
      <c r="F32" s="186"/>
      <c r="G32" s="185"/>
      <c r="H32" s="188"/>
      <c r="I32" s="179"/>
      <c r="J32" s="179"/>
      <c r="K32" s="178"/>
      <c r="L32" s="179"/>
      <c r="M32" s="174"/>
      <c r="N32" s="175"/>
      <c r="O32" s="182"/>
      <c r="P32" s="182"/>
      <c r="Q32" s="182"/>
      <c r="R32" s="182"/>
    </row>
    <row r="33" spans="1:18" s="167" customFormat="1" ht="15.95" customHeight="1">
      <c r="A33" s="316"/>
      <c r="B33" s="178"/>
      <c r="C33" s="180" t="s">
        <v>1418</v>
      </c>
      <c r="D33" s="179"/>
      <c r="E33" s="179"/>
      <c r="F33" s="179"/>
      <c r="G33" s="179"/>
      <c r="H33" s="179"/>
      <c r="I33" s="179"/>
      <c r="J33" s="179"/>
      <c r="K33" s="179"/>
      <c r="L33" s="179"/>
      <c r="M33" s="174"/>
      <c r="N33" s="175"/>
      <c r="O33" s="182"/>
      <c r="P33" s="182"/>
      <c r="Q33" s="182"/>
      <c r="R33" s="182"/>
    </row>
    <row r="34" spans="1:18" s="167" customFormat="1" ht="15.95" customHeight="1">
      <c r="A34" s="316">
        <v>18</v>
      </c>
      <c r="B34" s="177" t="s">
        <v>1419</v>
      </c>
      <c r="C34" s="178" t="s">
        <v>1420</v>
      </c>
      <c r="D34" s="178" t="s">
        <v>1376</v>
      </c>
      <c r="E34" s="179">
        <v>42</v>
      </c>
      <c r="F34" s="186"/>
      <c r="G34" s="185"/>
      <c r="H34" s="188"/>
      <c r="I34" s="179"/>
      <c r="J34" s="179"/>
      <c r="K34" s="178"/>
      <c r="L34" s="179"/>
      <c r="M34" s="174"/>
      <c r="N34" s="175"/>
      <c r="O34" s="182"/>
      <c r="P34" s="182"/>
      <c r="Q34" s="182"/>
      <c r="R34" s="182"/>
    </row>
    <row r="35" spans="1:18" s="167" customFormat="1" ht="15.95" customHeight="1">
      <c r="A35" s="316">
        <v>19</v>
      </c>
      <c r="B35" s="177" t="s">
        <v>1419</v>
      </c>
      <c r="C35" s="178" t="s">
        <v>1421</v>
      </c>
      <c r="D35" s="178" t="s">
        <v>1376</v>
      </c>
      <c r="E35" s="179">
        <v>41</v>
      </c>
      <c r="F35" s="186"/>
      <c r="G35" s="185"/>
      <c r="H35" s="188"/>
      <c r="I35" s="179"/>
      <c r="J35" s="179"/>
      <c r="K35" s="178"/>
      <c r="L35" s="179"/>
      <c r="M35" s="189"/>
      <c r="N35" s="190"/>
      <c r="O35" s="191"/>
      <c r="P35" s="191"/>
      <c r="Q35" s="191"/>
      <c r="R35" s="191"/>
    </row>
    <row r="36" spans="1:18" s="167" customFormat="1" ht="15.95" customHeight="1">
      <c r="A36" s="316">
        <v>20</v>
      </c>
      <c r="B36" s="177" t="s">
        <v>1422</v>
      </c>
      <c r="C36" s="178" t="s">
        <v>1423</v>
      </c>
      <c r="D36" s="178" t="s">
        <v>1376</v>
      </c>
      <c r="E36" s="179">
        <v>47</v>
      </c>
      <c r="F36" s="186"/>
      <c r="G36" s="185"/>
      <c r="H36" s="181"/>
      <c r="I36" s="179"/>
      <c r="J36" s="179"/>
      <c r="K36" s="178"/>
      <c r="L36" s="179"/>
      <c r="M36" s="189"/>
      <c r="N36" s="190"/>
      <c r="O36" s="191"/>
      <c r="P36" s="191"/>
      <c r="Q36" s="191"/>
      <c r="R36" s="191"/>
    </row>
    <row r="37" spans="1:18" s="167" customFormat="1" ht="15.95" customHeight="1">
      <c r="A37" s="316">
        <v>21</v>
      </c>
      <c r="B37" s="177"/>
      <c r="C37" s="178" t="s">
        <v>1424</v>
      </c>
      <c r="D37" s="178" t="s">
        <v>1376</v>
      </c>
      <c r="E37" s="179">
        <v>30</v>
      </c>
      <c r="F37" s="186"/>
      <c r="G37" s="185"/>
      <c r="H37" s="181"/>
      <c r="I37" s="179"/>
      <c r="J37" s="179"/>
      <c r="K37" s="178"/>
      <c r="L37" s="179"/>
      <c r="M37" s="189"/>
      <c r="N37" s="190"/>
      <c r="O37" s="191"/>
      <c r="P37" s="191"/>
      <c r="Q37" s="191"/>
      <c r="R37" s="191"/>
    </row>
    <row r="38" spans="1:18" s="167" customFormat="1" ht="15.95" customHeight="1">
      <c r="A38" s="316">
        <v>22</v>
      </c>
      <c r="B38" s="177" t="s">
        <v>1425</v>
      </c>
      <c r="C38" s="178" t="s">
        <v>1426</v>
      </c>
      <c r="D38" s="178" t="s">
        <v>1376</v>
      </c>
      <c r="E38" s="179">
        <v>7</v>
      </c>
      <c r="F38" s="186"/>
      <c r="G38" s="185"/>
      <c r="H38" s="181"/>
      <c r="I38" s="179"/>
      <c r="J38" s="179"/>
      <c r="K38" s="178"/>
      <c r="L38" s="179"/>
      <c r="M38" s="189"/>
      <c r="N38" s="190"/>
      <c r="O38" s="191"/>
      <c r="P38" s="191"/>
      <c r="Q38" s="191"/>
      <c r="R38" s="191"/>
    </row>
    <row r="39" spans="1:18" s="167" customFormat="1" ht="15.95" customHeight="1">
      <c r="A39" s="316">
        <v>23</v>
      </c>
      <c r="B39" s="177" t="s">
        <v>1427</v>
      </c>
      <c r="C39" s="178" t="s">
        <v>1428</v>
      </c>
      <c r="D39" s="178" t="s">
        <v>1376</v>
      </c>
      <c r="E39" s="179">
        <v>1</v>
      </c>
      <c r="F39" s="186"/>
      <c r="G39" s="185"/>
      <c r="H39" s="181"/>
      <c r="I39" s="179"/>
      <c r="J39" s="179"/>
      <c r="K39" s="178"/>
      <c r="L39" s="179"/>
      <c r="M39" s="189"/>
      <c r="N39" s="190"/>
      <c r="O39" s="191"/>
      <c r="P39" s="191"/>
      <c r="Q39" s="191"/>
      <c r="R39" s="191"/>
    </row>
    <row r="40" spans="1:18" s="167" customFormat="1" ht="15.95" customHeight="1">
      <c r="A40" s="316">
        <v>24</v>
      </c>
      <c r="B40" s="177"/>
      <c r="C40" s="178" t="s">
        <v>1429</v>
      </c>
      <c r="D40" s="178" t="s">
        <v>1376</v>
      </c>
      <c r="E40" s="179">
        <v>1</v>
      </c>
      <c r="F40" s="186"/>
      <c r="G40" s="185"/>
      <c r="H40" s="181"/>
      <c r="I40" s="179"/>
      <c r="J40" s="179"/>
      <c r="K40" s="178"/>
      <c r="L40" s="179"/>
      <c r="M40" s="189"/>
      <c r="N40" s="190"/>
      <c r="O40" s="191"/>
      <c r="P40" s="191"/>
      <c r="Q40" s="191"/>
      <c r="R40" s="191"/>
    </row>
    <row r="41" spans="1:18" s="167" customFormat="1" ht="15.95" customHeight="1">
      <c r="A41" s="316"/>
      <c r="B41" s="192"/>
      <c r="C41" s="180" t="s">
        <v>1430</v>
      </c>
      <c r="D41" s="180" t="s">
        <v>1373</v>
      </c>
      <c r="E41" s="187"/>
      <c r="F41" s="186"/>
      <c r="G41" s="185"/>
      <c r="H41" s="181"/>
      <c r="I41" s="179"/>
      <c r="J41" s="179"/>
      <c r="K41" s="193"/>
      <c r="L41" s="179"/>
      <c r="M41" s="189"/>
      <c r="N41" s="190"/>
      <c r="O41" s="191"/>
      <c r="P41" s="191"/>
      <c r="Q41" s="191"/>
      <c r="R41" s="191"/>
    </row>
    <row r="42" spans="1:18" s="167" customFormat="1" ht="15.95" customHeight="1">
      <c r="A42" s="316">
        <v>25</v>
      </c>
      <c r="B42" s="194" t="s">
        <v>1431</v>
      </c>
      <c r="C42" s="178" t="s">
        <v>1432</v>
      </c>
      <c r="D42" s="178" t="s">
        <v>1376</v>
      </c>
      <c r="E42" s="179">
        <v>21</v>
      </c>
      <c r="F42" s="186"/>
      <c r="G42" s="185"/>
      <c r="H42" s="186"/>
      <c r="I42" s="179"/>
      <c r="J42" s="179"/>
      <c r="K42" s="178"/>
      <c r="L42" s="179"/>
      <c r="M42" s="189"/>
      <c r="N42" s="190"/>
      <c r="O42" s="191"/>
      <c r="P42" s="191"/>
      <c r="Q42" s="191"/>
      <c r="R42" s="191"/>
    </row>
    <row r="43" spans="1:18" s="167" customFormat="1" ht="15.95" customHeight="1">
      <c r="A43" s="316">
        <v>26</v>
      </c>
      <c r="B43" s="194" t="s">
        <v>1433</v>
      </c>
      <c r="C43" s="178" t="s">
        <v>1434</v>
      </c>
      <c r="D43" s="178" t="s">
        <v>1376</v>
      </c>
      <c r="E43" s="179">
        <v>7</v>
      </c>
      <c r="F43" s="186"/>
      <c r="G43" s="185"/>
      <c r="H43" s="186"/>
      <c r="I43" s="179"/>
      <c r="J43" s="179"/>
      <c r="K43" s="178"/>
      <c r="L43" s="179"/>
      <c r="M43" s="189"/>
      <c r="N43" s="190"/>
      <c r="O43" s="191"/>
      <c r="P43" s="191"/>
      <c r="Q43" s="191"/>
      <c r="R43" s="191"/>
    </row>
    <row r="44" spans="1:18" s="167" customFormat="1" ht="15.95" customHeight="1">
      <c r="A44" s="316">
        <v>27</v>
      </c>
      <c r="B44" s="194" t="s">
        <v>1435</v>
      </c>
      <c r="C44" s="178" t="s">
        <v>1436</v>
      </c>
      <c r="D44" s="178" t="s">
        <v>1376</v>
      </c>
      <c r="E44" s="179">
        <v>12</v>
      </c>
      <c r="F44" s="186"/>
      <c r="G44" s="185"/>
      <c r="H44" s="186"/>
      <c r="I44" s="179"/>
      <c r="J44" s="179"/>
      <c r="K44" s="178"/>
      <c r="L44" s="179"/>
      <c r="M44" s="189"/>
      <c r="N44" s="190"/>
      <c r="O44" s="191"/>
      <c r="P44" s="191"/>
      <c r="Q44" s="191"/>
      <c r="R44" s="191"/>
    </row>
    <row r="45" spans="1:18" s="167" customFormat="1" ht="15.95" customHeight="1">
      <c r="A45" s="316">
        <v>28</v>
      </c>
      <c r="B45" s="194" t="s">
        <v>1437</v>
      </c>
      <c r="C45" s="178" t="s">
        <v>1438</v>
      </c>
      <c r="D45" s="178" t="s">
        <v>1376</v>
      </c>
      <c r="E45" s="179">
        <v>2</v>
      </c>
      <c r="F45" s="186"/>
      <c r="G45" s="185"/>
      <c r="H45" s="186"/>
      <c r="I45" s="179"/>
      <c r="J45" s="179"/>
      <c r="K45" s="178"/>
      <c r="L45" s="179"/>
      <c r="M45" s="189"/>
      <c r="N45" s="190"/>
      <c r="O45" s="191"/>
      <c r="P45" s="191"/>
      <c r="Q45" s="191"/>
      <c r="R45" s="191"/>
    </row>
    <row r="46" spans="1:18" s="167" customFormat="1" ht="15.95" customHeight="1">
      <c r="A46" s="316">
        <v>29</v>
      </c>
      <c r="B46" s="194" t="s">
        <v>1439</v>
      </c>
      <c r="C46" s="178" t="s">
        <v>1440</v>
      </c>
      <c r="D46" s="178" t="s">
        <v>1376</v>
      </c>
      <c r="E46" s="179">
        <v>5</v>
      </c>
      <c r="F46" s="186"/>
      <c r="G46" s="185"/>
      <c r="H46" s="186"/>
      <c r="I46" s="179"/>
      <c r="J46" s="179"/>
      <c r="K46" s="178"/>
      <c r="L46" s="179"/>
      <c r="M46" s="189"/>
      <c r="N46" s="190"/>
      <c r="O46" s="191"/>
      <c r="P46" s="191"/>
      <c r="Q46" s="191"/>
      <c r="R46" s="191"/>
    </row>
    <row r="47" spans="1:18" s="167" customFormat="1" ht="15.95" customHeight="1">
      <c r="A47" s="316">
        <v>30</v>
      </c>
      <c r="B47" s="194"/>
      <c r="C47" s="178" t="s">
        <v>1441</v>
      </c>
      <c r="D47" s="178" t="s">
        <v>1376</v>
      </c>
      <c r="E47" s="179">
        <v>5</v>
      </c>
      <c r="F47" s="186"/>
      <c r="G47" s="185"/>
      <c r="H47" s="186"/>
      <c r="I47" s="179"/>
      <c r="J47" s="179"/>
      <c r="K47" s="178"/>
      <c r="L47" s="179"/>
      <c r="M47" s="189"/>
      <c r="N47" s="190"/>
      <c r="O47" s="191"/>
      <c r="P47" s="191"/>
      <c r="Q47" s="191"/>
      <c r="R47" s="191"/>
    </row>
    <row r="48" spans="1:18" s="167" customFormat="1" ht="15.95" customHeight="1">
      <c r="A48" s="316">
        <v>31</v>
      </c>
      <c r="B48" s="194"/>
      <c r="C48" s="178" t="s">
        <v>1442</v>
      </c>
      <c r="D48" s="178" t="s">
        <v>1376</v>
      </c>
      <c r="E48" s="179">
        <v>5</v>
      </c>
      <c r="F48" s="186"/>
      <c r="G48" s="185"/>
      <c r="H48" s="186"/>
      <c r="I48" s="179"/>
      <c r="J48" s="179"/>
      <c r="K48" s="178"/>
      <c r="L48" s="179"/>
      <c r="M48" s="189"/>
      <c r="N48" s="190"/>
      <c r="O48" s="191"/>
      <c r="P48" s="191"/>
      <c r="Q48" s="191"/>
      <c r="R48" s="191"/>
    </row>
    <row r="49" spans="1:18" s="167" customFormat="1" ht="15.95" customHeight="1">
      <c r="A49" s="316"/>
      <c r="B49" s="194"/>
      <c r="C49" s="180" t="s">
        <v>1443</v>
      </c>
      <c r="D49" s="180" t="s">
        <v>1373</v>
      </c>
      <c r="E49" s="187"/>
      <c r="F49" s="187"/>
      <c r="G49" s="185"/>
      <c r="H49" s="186"/>
      <c r="I49" s="179"/>
      <c r="J49" s="179"/>
      <c r="K49" s="178"/>
      <c r="L49" s="179"/>
      <c r="M49" s="189"/>
      <c r="N49" s="190"/>
      <c r="O49" s="191"/>
      <c r="P49" s="191"/>
      <c r="Q49" s="191"/>
      <c r="R49" s="191"/>
    </row>
    <row r="50" spans="1:18" s="167" customFormat="1" ht="15.95" customHeight="1">
      <c r="A50" s="316">
        <v>32</v>
      </c>
      <c r="B50" s="194"/>
      <c r="C50" s="178" t="s">
        <v>1444</v>
      </c>
      <c r="D50" s="178" t="s">
        <v>1376</v>
      </c>
      <c r="E50" s="179">
        <v>35</v>
      </c>
      <c r="F50" s="179"/>
      <c r="G50" s="185"/>
      <c r="H50" s="186"/>
      <c r="I50" s="179"/>
      <c r="J50" s="179"/>
      <c r="K50" s="178"/>
      <c r="L50" s="179"/>
      <c r="M50" s="189"/>
      <c r="N50" s="190"/>
      <c r="O50" s="191"/>
      <c r="P50" s="191"/>
      <c r="Q50" s="191"/>
      <c r="R50" s="191"/>
    </row>
    <row r="51" spans="1:18" s="167" customFormat="1" ht="15.95" customHeight="1">
      <c r="A51" s="316">
        <v>33</v>
      </c>
      <c r="B51" s="194"/>
      <c r="C51" s="178" t="s">
        <v>1445</v>
      </c>
      <c r="D51" s="178" t="s">
        <v>1376</v>
      </c>
      <c r="E51" s="179">
        <v>7</v>
      </c>
      <c r="F51" s="179"/>
      <c r="G51" s="185"/>
      <c r="H51" s="186"/>
      <c r="I51" s="179"/>
      <c r="J51" s="179"/>
      <c r="K51" s="178"/>
      <c r="L51" s="179"/>
      <c r="M51" s="189"/>
      <c r="N51" s="190"/>
      <c r="O51" s="191"/>
      <c r="P51" s="191"/>
      <c r="Q51" s="191"/>
      <c r="R51" s="191"/>
    </row>
    <row r="52" spans="1:18" s="167" customFormat="1" ht="15.95" customHeight="1">
      <c r="A52" s="316">
        <v>34</v>
      </c>
      <c r="B52" s="194"/>
      <c r="C52" s="178" t="s">
        <v>1446</v>
      </c>
      <c r="D52" s="178" t="s">
        <v>1376</v>
      </c>
      <c r="E52" s="179">
        <v>5</v>
      </c>
      <c r="F52" s="179"/>
      <c r="G52" s="185"/>
      <c r="H52" s="186"/>
      <c r="I52" s="179"/>
      <c r="J52" s="179"/>
      <c r="K52" s="178"/>
      <c r="L52" s="179"/>
      <c r="M52" s="189"/>
      <c r="N52" s="190"/>
      <c r="O52" s="191"/>
      <c r="P52" s="191"/>
      <c r="Q52" s="191"/>
      <c r="R52" s="191"/>
    </row>
    <row r="53" spans="1:18" s="167" customFormat="1" ht="15.95" customHeight="1">
      <c r="A53" s="316"/>
      <c r="B53" s="194"/>
      <c r="C53" s="180" t="s">
        <v>1447</v>
      </c>
      <c r="D53" s="178"/>
      <c r="E53" s="179"/>
      <c r="F53" s="186"/>
      <c r="G53" s="185"/>
      <c r="H53" s="186"/>
      <c r="I53" s="179"/>
      <c r="J53" s="179"/>
      <c r="K53" s="178"/>
      <c r="L53" s="179"/>
      <c r="M53" s="189"/>
      <c r="N53" s="190"/>
      <c r="O53" s="191"/>
      <c r="P53" s="191"/>
      <c r="Q53" s="191"/>
      <c r="R53" s="191"/>
    </row>
    <row r="54" spans="1:18" s="167" customFormat="1" ht="15.95" customHeight="1">
      <c r="A54" s="316"/>
      <c r="B54" s="177"/>
      <c r="C54" s="178" t="s">
        <v>1448</v>
      </c>
      <c r="D54" s="178"/>
      <c r="E54" s="179"/>
      <c r="F54" s="186"/>
      <c r="G54" s="185"/>
      <c r="H54" s="188"/>
      <c r="I54" s="179"/>
      <c r="J54" s="179"/>
      <c r="K54" s="178"/>
      <c r="L54" s="179"/>
      <c r="M54" s="189"/>
      <c r="N54" s="190"/>
      <c r="O54" s="191"/>
      <c r="P54" s="191"/>
      <c r="Q54" s="191"/>
      <c r="R54" s="191"/>
    </row>
    <row r="55" spans="1:18" s="167" customFormat="1" ht="15.95" customHeight="1">
      <c r="A55" s="316">
        <v>35</v>
      </c>
      <c r="B55" s="177"/>
      <c r="C55" s="178" t="s">
        <v>1449</v>
      </c>
      <c r="D55" s="178" t="s">
        <v>1376</v>
      </c>
      <c r="E55" s="179">
        <v>0</v>
      </c>
      <c r="F55" s="186"/>
      <c r="G55" s="185"/>
      <c r="H55" s="186"/>
      <c r="I55" s="179"/>
      <c r="J55" s="179"/>
      <c r="K55" s="178"/>
      <c r="L55" s="179"/>
      <c r="M55" s="189"/>
      <c r="N55" s="190"/>
      <c r="O55" s="191"/>
      <c r="P55" s="191"/>
      <c r="Q55" s="191"/>
      <c r="R55" s="191"/>
    </row>
    <row r="56" spans="1:18" s="167" customFormat="1" ht="15.95" customHeight="1">
      <c r="A56" s="316">
        <v>36</v>
      </c>
      <c r="B56" s="177"/>
      <c r="C56" s="178" t="s">
        <v>1450</v>
      </c>
      <c r="D56" s="178" t="s">
        <v>1376</v>
      </c>
      <c r="E56" s="179">
        <v>28</v>
      </c>
      <c r="F56" s="186"/>
      <c r="G56" s="185"/>
      <c r="H56" s="186"/>
      <c r="I56" s="179"/>
      <c r="J56" s="179"/>
      <c r="K56" s="178"/>
      <c r="L56" s="179"/>
      <c r="M56" s="189"/>
      <c r="N56" s="190"/>
      <c r="O56" s="191"/>
      <c r="P56" s="191"/>
      <c r="Q56" s="191"/>
      <c r="R56" s="191"/>
    </row>
    <row r="57" spans="1:18" s="167" customFormat="1" ht="15.95" customHeight="1">
      <c r="A57" s="316">
        <v>37</v>
      </c>
      <c r="B57" s="177"/>
      <c r="C57" s="178" t="s">
        <v>1451</v>
      </c>
      <c r="D57" s="178" t="s">
        <v>1376</v>
      </c>
      <c r="E57" s="179">
        <v>6</v>
      </c>
      <c r="F57" s="186"/>
      <c r="G57" s="185"/>
      <c r="H57" s="186"/>
      <c r="I57" s="179"/>
      <c r="J57" s="179"/>
      <c r="K57" s="178"/>
      <c r="L57" s="179"/>
      <c r="M57" s="189"/>
      <c r="N57" s="190"/>
      <c r="O57" s="191"/>
      <c r="P57" s="191"/>
      <c r="Q57" s="191"/>
      <c r="R57" s="191"/>
    </row>
    <row r="58" spans="1:18" s="167" customFormat="1" ht="15.95" customHeight="1">
      <c r="A58" s="316">
        <v>38</v>
      </c>
      <c r="B58" s="177"/>
      <c r="C58" s="178" t="s">
        <v>1452</v>
      </c>
      <c r="D58" s="178" t="s">
        <v>1376</v>
      </c>
      <c r="E58" s="179">
        <v>2</v>
      </c>
      <c r="F58" s="186"/>
      <c r="G58" s="185"/>
      <c r="H58" s="186"/>
      <c r="I58" s="179"/>
      <c r="J58" s="179"/>
      <c r="K58" s="178"/>
      <c r="L58" s="179"/>
      <c r="M58" s="189"/>
      <c r="N58" s="190"/>
      <c r="O58" s="191"/>
      <c r="P58" s="191"/>
      <c r="Q58" s="191"/>
      <c r="R58" s="191"/>
    </row>
    <row r="59" spans="1:18" s="167" customFormat="1" ht="15.95" customHeight="1">
      <c r="A59" s="316">
        <v>39</v>
      </c>
      <c r="B59" s="177"/>
      <c r="C59" s="178" t="s">
        <v>1453</v>
      </c>
      <c r="D59" s="178" t="s">
        <v>1376</v>
      </c>
      <c r="E59" s="179">
        <v>4</v>
      </c>
      <c r="F59" s="186"/>
      <c r="G59" s="185"/>
      <c r="H59" s="186"/>
      <c r="I59" s="179"/>
      <c r="J59" s="179"/>
      <c r="K59" s="178"/>
      <c r="L59" s="179"/>
      <c r="M59" s="189"/>
      <c r="N59" s="190"/>
      <c r="O59" s="191"/>
      <c r="P59" s="191"/>
      <c r="Q59" s="191"/>
      <c r="R59" s="191"/>
    </row>
    <row r="60" spans="1:18" s="167" customFormat="1" ht="15.95" customHeight="1">
      <c r="A60" s="316">
        <v>40</v>
      </c>
      <c r="B60" s="177"/>
      <c r="C60" s="178" t="s">
        <v>1454</v>
      </c>
      <c r="D60" s="178" t="s">
        <v>1376</v>
      </c>
      <c r="E60" s="179">
        <v>0</v>
      </c>
      <c r="F60" s="186"/>
      <c r="G60" s="185"/>
      <c r="H60" s="186"/>
      <c r="I60" s="179"/>
      <c r="J60" s="179"/>
      <c r="K60" s="178"/>
      <c r="L60" s="179"/>
      <c r="M60" s="189"/>
      <c r="N60" s="190"/>
      <c r="O60" s="191"/>
      <c r="P60" s="191"/>
      <c r="Q60" s="191"/>
      <c r="R60" s="191"/>
    </row>
    <row r="61" spans="1:18" s="167" customFormat="1" ht="15.95" customHeight="1">
      <c r="A61" s="316">
        <v>41</v>
      </c>
      <c r="B61" s="177"/>
      <c r="C61" s="178" t="s">
        <v>1455</v>
      </c>
      <c r="D61" s="178" t="s">
        <v>1376</v>
      </c>
      <c r="E61" s="179">
        <v>3</v>
      </c>
      <c r="F61" s="186"/>
      <c r="G61" s="185"/>
      <c r="H61" s="186"/>
      <c r="I61" s="179"/>
      <c r="J61" s="179"/>
      <c r="K61" s="178"/>
      <c r="L61" s="179"/>
      <c r="M61" s="189"/>
      <c r="N61" s="190"/>
      <c r="O61" s="191"/>
      <c r="P61" s="191"/>
      <c r="Q61" s="191"/>
      <c r="R61" s="191"/>
    </row>
    <row r="62" spans="1:18" s="167" customFormat="1" ht="15.95" customHeight="1">
      <c r="A62" s="316">
        <v>42</v>
      </c>
      <c r="B62" s="177"/>
      <c r="C62" s="178" t="s">
        <v>1456</v>
      </c>
      <c r="D62" s="178" t="s">
        <v>1376</v>
      </c>
      <c r="E62" s="179">
        <v>1</v>
      </c>
      <c r="F62" s="186"/>
      <c r="G62" s="185"/>
      <c r="H62" s="186"/>
      <c r="I62" s="179"/>
      <c r="J62" s="179"/>
      <c r="K62" s="178"/>
      <c r="L62" s="179"/>
      <c r="M62" s="189"/>
      <c r="N62" s="190"/>
      <c r="O62" s="191"/>
      <c r="P62" s="191"/>
      <c r="Q62" s="191"/>
      <c r="R62" s="191"/>
    </row>
    <row r="63" spans="1:18" s="167" customFormat="1" ht="15.95" customHeight="1">
      <c r="A63" s="316">
        <v>43</v>
      </c>
      <c r="B63" s="177"/>
      <c r="C63" s="178" t="s">
        <v>1457</v>
      </c>
      <c r="D63" s="178" t="s">
        <v>1376</v>
      </c>
      <c r="E63" s="179">
        <v>5</v>
      </c>
      <c r="F63" s="186"/>
      <c r="G63" s="185"/>
      <c r="H63" s="186"/>
      <c r="I63" s="179"/>
      <c r="J63" s="179"/>
      <c r="K63" s="178"/>
      <c r="L63" s="179"/>
      <c r="M63" s="189"/>
      <c r="N63" s="190"/>
      <c r="O63" s="191"/>
      <c r="P63" s="191"/>
      <c r="Q63" s="191"/>
      <c r="R63" s="191"/>
    </row>
    <row r="64" spans="1:18" s="167" customFormat="1" ht="15.95" customHeight="1">
      <c r="A64" s="316">
        <v>44</v>
      </c>
      <c r="B64" s="177"/>
      <c r="C64" s="178" t="s">
        <v>1458</v>
      </c>
      <c r="D64" s="178" t="s">
        <v>1376</v>
      </c>
      <c r="E64" s="179">
        <v>2</v>
      </c>
      <c r="F64" s="186"/>
      <c r="G64" s="185"/>
      <c r="H64" s="186"/>
      <c r="I64" s="179"/>
      <c r="J64" s="179"/>
      <c r="K64" s="178"/>
      <c r="L64" s="179"/>
      <c r="M64" s="189"/>
      <c r="N64" s="190"/>
      <c r="O64" s="191"/>
      <c r="P64" s="191"/>
      <c r="Q64" s="191"/>
      <c r="R64" s="191"/>
    </row>
    <row r="65" spans="1:18" s="167" customFormat="1" ht="15.95" customHeight="1">
      <c r="A65" s="316">
        <v>45</v>
      </c>
      <c r="B65" s="177"/>
      <c r="C65" s="178" t="s">
        <v>1459</v>
      </c>
      <c r="D65" s="178" t="s">
        <v>1376</v>
      </c>
      <c r="E65" s="179">
        <v>5</v>
      </c>
      <c r="F65" s="186"/>
      <c r="G65" s="185"/>
      <c r="H65" s="186"/>
      <c r="I65" s="179"/>
      <c r="J65" s="179"/>
      <c r="K65" s="178"/>
      <c r="L65" s="179"/>
      <c r="M65" s="189"/>
      <c r="N65" s="190"/>
      <c r="O65" s="191"/>
      <c r="P65" s="191"/>
      <c r="Q65" s="191"/>
      <c r="R65" s="191"/>
    </row>
    <row r="66" spans="1:18" s="167" customFormat="1" ht="15.95" customHeight="1">
      <c r="A66" s="316">
        <v>46</v>
      </c>
      <c r="B66" s="177"/>
      <c r="C66" s="178" t="s">
        <v>1460</v>
      </c>
      <c r="D66" s="178" t="s">
        <v>1376</v>
      </c>
      <c r="E66" s="179">
        <v>0</v>
      </c>
      <c r="F66" s="186"/>
      <c r="G66" s="185"/>
      <c r="H66" s="181"/>
      <c r="I66" s="179"/>
      <c r="J66" s="179"/>
      <c r="K66" s="178"/>
      <c r="L66" s="179"/>
      <c r="M66" s="189"/>
      <c r="N66" s="190"/>
      <c r="O66" s="191"/>
      <c r="P66" s="191"/>
      <c r="Q66" s="191"/>
      <c r="R66" s="191"/>
    </row>
    <row r="67" spans="1:18" s="167" customFormat="1" ht="15.95" customHeight="1">
      <c r="A67" s="316">
        <v>47</v>
      </c>
      <c r="B67" s="177"/>
      <c r="C67" s="178" t="s">
        <v>1461</v>
      </c>
      <c r="D67" s="178" t="s">
        <v>1376</v>
      </c>
      <c r="E67" s="179">
        <v>72</v>
      </c>
      <c r="F67" s="186"/>
      <c r="G67" s="185"/>
      <c r="H67" s="181"/>
      <c r="I67" s="179"/>
      <c r="J67" s="179"/>
      <c r="K67" s="178"/>
      <c r="L67" s="179"/>
      <c r="M67" s="189"/>
      <c r="N67" s="190"/>
      <c r="O67" s="191"/>
      <c r="P67" s="191"/>
      <c r="Q67" s="191"/>
      <c r="R67" s="191"/>
    </row>
    <row r="68" spans="1:18" s="167" customFormat="1" ht="15.95" customHeight="1">
      <c r="A68" s="316">
        <v>48</v>
      </c>
      <c r="B68" s="177"/>
      <c r="C68" s="178" t="s">
        <v>1462</v>
      </c>
      <c r="D68" s="178" t="s">
        <v>1376</v>
      </c>
      <c r="E68" s="179">
        <v>8</v>
      </c>
      <c r="F68" s="186"/>
      <c r="G68" s="185"/>
      <c r="H68" s="181"/>
      <c r="I68" s="179"/>
      <c r="J68" s="179"/>
      <c r="K68" s="178"/>
      <c r="L68" s="179"/>
      <c r="M68" s="189"/>
      <c r="N68" s="190"/>
      <c r="O68" s="191"/>
      <c r="P68" s="191"/>
      <c r="Q68" s="191"/>
      <c r="R68" s="191"/>
    </row>
    <row r="69" spans="1:18" s="167" customFormat="1" ht="15.95" customHeight="1">
      <c r="A69" s="316">
        <v>49</v>
      </c>
      <c r="B69" s="177"/>
      <c r="C69" s="178" t="s">
        <v>1463</v>
      </c>
      <c r="D69" s="178" t="s">
        <v>1376</v>
      </c>
      <c r="E69" s="179">
        <v>56</v>
      </c>
      <c r="F69" s="186"/>
      <c r="G69" s="185"/>
      <c r="H69" s="181"/>
      <c r="I69" s="179"/>
      <c r="J69" s="179"/>
      <c r="K69" s="178"/>
      <c r="L69" s="179"/>
      <c r="M69" s="189"/>
      <c r="N69" s="190"/>
      <c r="O69" s="191"/>
      <c r="P69" s="191"/>
      <c r="Q69" s="191"/>
      <c r="R69" s="191"/>
    </row>
    <row r="70" spans="1:18" s="167" customFormat="1" ht="15.95" customHeight="1">
      <c r="A70" s="316">
        <v>50</v>
      </c>
      <c r="B70" s="177"/>
      <c r="C70" s="178" t="s">
        <v>1464</v>
      </c>
      <c r="D70" s="178" t="s">
        <v>1376</v>
      </c>
      <c r="E70" s="179">
        <v>90</v>
      </c>
      <c r="F70" s="186"/>
      <c r="G70" s="185"/>
      <c r="H70" s="181"/>
      <c r="I70" s="179"/>
      <c r="J70" s="179"/>
      <c r="K70" s="178"/>
      <c r="L70" s="179"/>
      <c r="M70" s="189"/>
      <c r="N70" s="190"/>
      <c r="O70" s="191"/>
      <c r="P70" s="191"/>
      <c r="Q70" s="191"/>
      <c r="R70" s="191"/>
    </row>
    <row r="71" spans="1:18" s="167" customFormat="1" ht="15.95" customHeight="1">
      <c r="A71" s="316">
        <v>51</v>
      </c>
      <c r="B71" s="177" t="s">
        <v>1465</v>
      </c>
      <c r="C71" s="178" t="s">
        <v>1466</v>
      </c>
      <c r="D71" s="178" t="s">
        <v>1376</v>
      </c>
      <c r="E71" s="179">
        <v>200</v>
      </c>
      <c r="F71" s="186"/>
      <c r="G71" s="185"/>
      <c r="H71" s="181"/>
      <c r="I71" s="179"/>
      <c r="J71" s="179"/>
      <c r="K71" s="178"/>
      <c r="L71" s="179"/>
      <c r="M71" s="189"/>
      <c r="N71" s="190"/>
      <c r="O71" s="191"/>
      <c r="P71" s="191"/>
      <c r="Q71" s="191"/>
      <c r="R71" s="191"/>
    </row>
    <row r="72" spans="1:18" s="167" customFormat="1" ht="15.95" customHeight="1">
      <c r="A72" s="316"/>
      <c r="B72" s="177"/>
      <c r="C72" s="180" t="s">
        <v>1467</v>
      </c>
      <c r="D72" s="178"/>
      <c r="E72" s="179"/>
      <c r="F72" s="186"/>
      <c r="G72" s="185"/>
      <c r="H72" s="181"/>
      <c r="I72" s="179"/>
      <c r="J72" s="179"/>
      <c r="K72" s="183"/>
      <c r="L72" s="179"/>
      <c r="M72" s="189"/>
      <c r="N72" s="190"/>
      <c r="O72" s="191"/>
      <c r="P72" s="191"/>
      <c r="Q72" s="191"/>
      <c r="R72" s="191"/>
    </row>
    <row r="73" spans="1:18" s="167" customFormat="1" ht="15.95" customHeight="1">
      <c r="A73" s="316">
        <v>37</v>
      </c>
      <c r="B73" s="177" t="s">
        <v>1413</v>
      </c>
      <c r="C73" s="178" t="s">
        <v>1468</v>
      </c>
      <c r="D73" s="178" t="s">
        <v>1376</v>
      </c>
      <c r="E73" s="179">
        <v>8</v>
      </c>
      <c r="F73" s="186"/>
      <c r="G73" s="185"/>
      <c r="H73" s="195"/>
      <c r="I73" s="179"/>
      <c r="J73" s="179"/>
      <c r="K73" s="183"/>
      <c r="L73" s="179"/>
      <c r="M73" s="189"/>
      <c r="N73" s="190"/>
      <c r="O73" s="191"/>
      <c r="P73" s="191"/>
      <c r="Q73" s="191"/>
      <c r="R73" s="191"/>
    </row>
    <row r="74" spans="1:18" s="167" customFormat="1" ht="15.95" customHeight="1">
      <c r="A74" s="316"/>
      <c r="B74" s="177"/>
      <c r="C74" s="192" t="s">
        <v>1469</v>
      </c>
      <c r="D74" s="192" t="s">
        <v>1373</v>
      </c>
      <c r="E74" s="196"/>
      <c r="F74" s="196"/>
      <c r="G74" s="197"/>
      <c r="H74" s="192"/>
      <c r="I74" s="179"/>
      <c r="J74" s="179"/>
      <c r="K74" s="197"/>
      <c r="L74" s="179"/>
      <c r="M74" s="189"/>
      <c r="N74" s="190"/>
      <c r="O74" s="191"/>
      <c r="P74" s="191"/>
      <c r="Q74" s="191"/>
      <c r="R74" s="191"/>
    </row>
    <row r="75" spans="1:18" s="167" customFormat="1" ht="15.95" customHeight="1">
      <c r="A75" s="316">
        <v>41</v>
      </c>
      <c r="B75" s="177"/>
      <c r="C75" s="178" t="s">
        <v>1470</v>
      </c>
      <c r="D75" s="178" t="s">
        <v>62</v>
      </c>
      <c r="E75" s="179">
        <v>18</v>
      </c>
      <c r="F75" s="179"/>
      <c r="G75" s="179"/>
      <c r="H75" s="179"/>
      <c r="I75" s="179"/>
      <c r="J75" s="179"/>
      <c r="K75" s="179"/>
      <c r="L75" s="179"/>
      <c r="M75" s="189"/>
      <c r="N75" s="190"/>
      <c r="O75" s="191"/>
      <c r="P75" s="191"/>
      <c r="Q75" s="191"/>
      <c r="R75" s="191"/>
    </row>
    <row r="76" spans="1:18" s="167" customFormat="1" ht="15.95" customHeight="1">
      <c r="A76" s="316">
        <v>42</v>
      </c>
      <c r="B76" s="177"/>
      <c r="C76" s="178" t="s">
        <v>1471</v>
      </c>
      <c r="D76" s="178" t="s">
        <v>62</v>
      </c>
      <c r="E76" s="179">
        <v>18</v>
      </c>
      <c r="F76" s="179"/>
      <c r="G76" s="179"/>
      <c r="H76" s="184"/>
      <c r="I76" s="179"/>
      <c r="J76" s="179"/>
      <c r="K76" s="179"/>
      <c r="L76" s="179"/>
      <c r="M76" s="189"/>
      <c r="N76" s="190"/>
      <c r="O76" s="191"/>
      <c r="P76" s="191"/>
      <c r="Q76" s="191"/>
      <c r="R76" s="191"/>
    </row>
    <row r="77" spans="1:18" s="167" customFormat="1" ht="15.95" customHeight="1">
      <c r="A77" s="316">
        <v>43</v>
      </c>
      <c r="B77" s="177"/>
      <c r="C77" s="178" t="s">
        <v>1472</v>
      </c>
      <c r="D77" s="178" t="s">
        <v>1376</v>
      </c>
      <c r="E77" s="179">
        <v>2</v>
      </c>
      <c r="F77" s="179"/>
      <c r="G77" s="179"/>
      <c r="H77" s="184"/>
      <c r="I77" s="179"/>
      <c r="J77" s="179"/>
      <c r="K77" s="179"/>
      <c r="L77" s="179"/>
      <c r="M77" s="189"/>
      <c r="N77" s="190"/>
      <c r="O77" s="191"/>
      <c r="P77" s="191"/>
      <c r="Q77" s="191"/>
      <c r="R77" s="191"/>
    </row>
    <row r="78" spans="1:18" s="167" customFormat="1" ht="15.95" customHeight="1">
      <c r="A78" s="316">
        <v>44</v>
      </c>
      <c r="B78" s="177"/>
      <c r="C78" s="178" t="s">
        <v>1473</v>
      </c>
      <c r="D78" s="178" t="s">
        <v>62</v>
      </c>
      <c r="E78" s="179">
        <v>18</v>
      </c>
      <c r="F78" s="179"/>
      <c r="G78" s="179"/>
      <c r="H78" s="184"/>
      <c r="I78" s="179"/>
      <c r="J78" s="179"/>
      <c r="K78" s="179"/>
      <c r="L78" s="179"/>
      <c r="M78" s="189"/>
      <c r="N78" s="190"/>
      <c r="O78" s="191"/>
      <c r="P78" s="191"/>
      <c r="Q78" s="191"/>
      <c r="R78" s="191"/>
    </row>
    <row r="79" spans="1:18" s="167" customFormat="1" ht="15.95" customHeight="1">
      <c r="A79" s="316">
        <v>45</v>
      </c>
      <c r="B79" s="177"/>
      <c r="C79" s="178" t="s">
        <v>1474</v>
      </c>
      <c r="D79" s="178" t="s">
        <v>62</v>
      </c>
      <c r="E79" s="179">
        <v>18</v>
      </c>
      <c r="F79" s="179"/>
      <c r="G79" s="179"/>
      <c r="H79" s="184"/>
      <c r="I79" s="179"/>
      <c r="J79" s="179"/>
      <c r="K79" s="179"/>
      <c r="L79" s="179"/>
      <c r="M79" s="189"/>
      <c r="N79" s="190"/>
      <c r="O79" s="191"/>
      <c r="P79" s="191"/>
      <c r="Q79" s="191"/>
      <c r="R79" s="191"/>
    </row>
    <row r="80" spans="1:18" s="167" customFormat="1" ht="15.95" customHeight="1">
      <c r="A80" s="316">
        <v>47</v>
      </c>
      <c r="B80" s="177" t="s">
        <v>1465</v>
      </c>
      <c r="C80" s="178" t="s">
        <v>1466</v>
      </c>
      <c r="D80" s="178" t="s">
        <v>1376</v>
      </c>
      <c r="E80" s="179">
        <v>36</v>
      </c>
      <c r="F80" s="186"/>
      <c r="G80" s="185"/>
      <c r="H80" s="181"/>
      <c r="I80" s="179"/>
      <c r="J80" s="179"/>
      <c r="K80" s="178"/>
      <c r="L80" s="179"/>
      <c r="M80" s="189"/>
      <c r="N80" s="190"/>
      <c r="O80" s="191"/>
      <c r="P80" s="191"/>
      <c r="Q80" s="191"/>
      <c r="R80" s="191"/>
    </row>
    <row r="81" spans="1:18" s="167" customFormat="1" ht="15.95" customHeight="1">
      <c r="A81" s="316">
        <v>48</v>
      </c>
      <c r="B81" s="177"/>
      <c r="C81" s="178" t="s">
        <v>1475</v>
      </c>
      <c r="D81" s="178" t="s">
        <v>1376</v>
      </c>
      <c r="E81" s="179">
        <v>32</v>
      </c>
      <c r="F81" s="179"/>
      <c r="G81" s="179"/>
      <c r="H81" s="184"/>
      <c r="I81" s="179"/>
      <c r="J81" s="179"/>
      <c r="K81" s="179"/>
      <c r="L81" s="179"/>
      <c r="M81" s="189"/>
      <c r="N81" s="190"/>
      <c r="O81" s="191"/>
      <c r="P81" s="191"/>
      <c r="Q81" s="191"/>
      <c r="R81" s="191"/>
    </row>
    <row r="82" spans="1:18" s="167" customFormat="1" ht="15.95" customHeight="1">
      <c r="A82" s="316"/>
      <c r="B82" s="177"/>
      <c r="C82" s="180" t="s">
        <v>1476</v>
      </c>
      <c r="D82" s="178"/>
      <c r="E82" s="179"/>
      <c r="F82" s="179"/>
      <c r="G82" s="179"/>
      <c r="H82" s="184"/>
      <c r="I82" s="179"/>
      <c r="J82" s="179"/>
      <c r="K82" s="179"/>
      <c r="L82" s="179"/>
      <c r="M82" s="189"/>
      <c r="N82" s="190"/>
      <c r="O82" s="191"/>
      <c r="P82" s="191"/>
      <c r="Q82" s="191"/>
      <c r="R82" s="191"/>
    </row>
    <row r="83" spans="1:18" s="167" customFormat="1" ht="15.95" customHeight="1">
      <c r="A83" s="316">
        <v>49</v>
      </c>
      <c r="B83" s="177" t="s">
        <v>1477</v>
      </c>
      <c r="C83" s="178" t="s">
        <v>1478</v>
      </c>
      <c r="D83" s="178" t="s">
        <v>1376</v>
      </c>
      <c r="E83" s="179">
        <v>40</v>
      </c>
      <c r="F83" s="186"/>
      <c r="G83" s="185"/>
      <c r="H83" s="186"/>
      <c r="I83" s="179"/>
      <c r="J83" s="179"/>
      <c r="K83" s="178"/>
      <c r="L83" s="179"/>
      <c r="M83" s="189"/>
      <c r="N83" s="190"/>
      <c r="O83" s="191"/>
      <c r="P83" s="191"/>
      <c r="Q83" s="191"/>
      <c r="R83" s="191"/>
    </row>
    <row r="84" spans="1:18" s="167" customFormat="1" ht="15.95" customHeight="1">
      <c r="A84" s="316">
        <v>51</v>
      </c>
      <c r="B84" s="177"/>
      <c r="C84" s="178" t="s">
        <v>1479</v>
      </c>
      <c r="D84" s="178" t="s">
        <v>1376</v>
      </c>
      <c r="E84" s="179">
        <v>7</v>
      </c>
      <c r="F84" s="186"/>
      <c r="G84" s="185"/>
      <c r="H84" s="186"/>
      <c r="I84" s="179"/>
      <c r="J84" s="179"/>
      <c r="K84" s="178"/>
      <c r="L84" s="179"/>
      <c r="M84" s="189"/>
      <c r="N84" s="190"/>
      <c r="O84" s="191"/>
      <c r="P84" s="191"/>
      <c r="Q84" s="191"/>
      <c r="R84" s="191"/>
    </row>
    <row r="85" spans="1:18" s="167" customFormat="1" ht="15.95" customHeight="1">
      <c r="A85" s="316"/>
      <c r="B85" s="177"/>
      <c r="C85" s="180" t="s">
        <v>1480</v>
      </c>
      <c r="D85" s="178"/>
      <c r="E85" s="179"/>
      <c r="F85" s="179"/>
      <c r="G85" s="179"/>
      <c r="H85" s="178"/>
      <c r="I85" s="179"/>
      <c r="J85" s="179"/>
      <c r="K85" s="179"/>
      <c r="L85" s="179"/>
      <c r="M85" s="189"/>
      <c r="N85" s="190"/>
      <c r="O85" s="191"/>
      <c r="P85" s="191"/>
      <c r="Q85" s="191"/>
      <c r="R85" s="191"/>
    </row>
    <row r="86" spans="1:18" s="167" customFormat="1" ht="15.95" customHeight="1">
      <c r="A86" s="316">
        <v>52</v>
      </c>
      <c r="B86" s="177"/>
      <c r="C86" s="178" t="s">
        <v>1481</v>
      </c>
      <c r="D86" s="178" t="s">
        <v>1376</v>
      </c>
      <c r="E86" s="179">
        <v>20</v>
      </c>
      <c r="F86" s="179"/>
      <c r="G86" s="179"/>
      <c r="H86" s="181"/>
      <c r="I86" s="179"/>
      <c r="J86" s="179"/>
      <c r="K86" s="179"/>
      <c r="L86" s="179"/>
      <c r="M86" s="189"/>
      <c r="N86" s="190"/>
      <c r="O86" s="191"/>
      <c r="P86" s="191"/>
      <c r="Q86" s="191"/>
      <c r="R86" s="191"/>
    </row>
    <row r="87" spans="1:18" s="167" customFormat="1" ht="15.95" customHeight="1">
      <c r="A87" s="316">
        <v>53</v>
      </c>
      <c r="B87" s="177"/>
      <c r="C87" s="178" t="s">
        <v>1482</v>
      </c>
      <c r="D87" s="178" t="s">
        <v>1376</v>
      </c>
      <c r="E87" s="179">
        <v>8</v>
      </c>
      <c r="F87" s="179"/>
      <c r="G87" s="179"/>
      <c r="H87" s="181"/>
      <c r="I87" s="179"/>
      <c r="J87" s="179"/>
      <c r="K87" s="179"/>
      <c r="L87" s="179"/>
      <c r="M87" s="189"/>
      <c r="N87" s="190"/>
      <c r="O87" s="191"/>
      <c r="P87" s="191"/>
      <c r="Q87" s="191"/>
      <c r="R87" s="191"/>
    </row>
    <row r="88" spans="1:18" s="167" customFormat="1" ht="15.95" customHeight="1">
      <c r="A88" s="316">
        <v>54</v>
      </c>
      <c r="B88" s="177"/>
      <c r="C88" s="178" t="s">
        <v>1483</v>
      </c>
      <c r="D88" s="178" t="s">
        <v>1376</v>
      </c>
      <c r="E88" s="179">
        <v>4</v>
      </c>
      <c r="F88" s="179"/>
      <c r="G88" s="179"/>
      <c r="H88" s="181"/>
      <c r="I88" s="179"/>
      <c r="J88" s="179"/>
      <c r="K88" s="179"/>
      <c r="L88" s="179"/>
      <c r="M88" s="189"/>
      <c r="N88" s="190"/>
      <c r="O88" s="191"/>
      <c r="P88" s="191"/>
      <c r="Q88" s="191"/>
      <c r="R88" s="191"/>
    </row>
    <row r="89" spans="1:18" s="167" customFormat="1" ht="15.95" customHeight="1">
      <c r="A89" s="316">
        <v>55</v>
      </c>
      <c r="B89" s="177"/>
      <c r="C89" s="178" t="s">
        <v>1484</v>
      </c>
      <c r="D89" s="178" t="s">
        <v>1376</v>
      </c>
      <c r="E89" s="179">
        <v>9</v>
      </c>
      <c r="F89" s="179"/>
      <c r="G89" s="179"/>
      <c r="H89" s="181"/>
      <c r="I89" s="179"/>
      <c r="J89" s="179"/>
      <c r="K89" s="179"/>
      <c r="L89" s="179"/>
      <c r="M89" s="189"/>
      <c r="N89" s="190"/>
      <c r="O89" s="191"/>
      <c r="P89" s="191"/>
      <c r="Q89" s="191"/>
      <c r="R89" s="191"/>
    </row>
    <row r="90" spans="1:18" s="167" customFormat="1" ht="15.95" customHeight="1">
      <c r="A90" s="316"/>
      <c r="B90" s="177"/>
      <c r="C90" s="180" t="s">
        <v>1485</v>
      </c>
      <c r="D90" s="178"/>
      <c r="E90" s="179"/>
      <c r="F90" s="186"/>
      <c r="G90" s="185"/>
      <c r="H90" s="181"/>
      <c r="I90" s="179"/>
      <c r="J90" s="179"/>
      <c r="K90" s="183"/>
      <c r="L90" s="179"/>
      <c r="M90" s="189"/>
      <c r="N90" s="190"/>
      <c r="O90" s="191"/>
      <c r="P90" s="191"/>
      <c r="Q90" s="191"/>
      <c r="R90" s="191"/>
    </row>
    <row r="91" spans="1:18" s="167" customFormat="1" ht="15.95" customHeight="1">
      <c r="A91" s="316">
        <v>56</v>
      </c>
      <c r="B91" s="177" t="s">
        <v>1486</v>
      </c>
      <c r="C91" s="178" t="s">
        <v>1487</v>
      </c>
      <c r="D91" s="178" t="s">
        <v>62</v>
      </c>
      <c r="E91" s="179">
        <v>35</v>
      </c>
      <c r="F91" s="186"/>
      <c r="G91" s="185"/>
      <c r="H91" s="181"/>
      <c r="I91" s="179"/>
      <c r="J91" s="179"/>
      <c r="K91" s="178"/>
      <c r="L91" s="179"/>
      <c r="M91" s="189"/>
      <c r="N91" s="190"/>
      <c r="O91" s="191"/>
      <c r="P91" s="191"/>
      <c r="Q91" s="191"/>
      <c r="R91" s="191"/>
    </row>
    <row r="92" spans="1:18" s="167" customFormat="1" ht="15.95" customHeight="1">
      <c r="A92" s="316">
        <v>57</v>
      </c>
      <c r="B92" s="177" t="s">
        <v>1488</v>
      </c>
      <c r="C92" s="178" t="s">
        <v>1489</v>
      </c>
      <c r="D92" s="178" t="s">
        <v>62</v>
      </c>
      <c r="E92" s="179">
        <v>40</v>
      </c>
      <c r="F92" s="186"/>
      <c r="G92" s="185"/>
      <c r="H92" s="181"/>
      <c r="I92" s="179"/>
      <c r="J92" s="179"/>
      <c r="K92" s="178"/>
      <c r="L92" s="179"/>
      <c r="M92" s="189"/>
      <c r="N92" s="190"/>
      <c r="O92" s="191"/>
      <c r="P92" s="191"/>
      <c r="Q92" s="191"/>
      <c r="R92" s="191"/>
    </row>
    <row r="93" spans="1:18" s="167" customFormat="1" ht="15.95" customHeight="1">
      <c r="A93" s="316"/>
      <c r="B93" s="177"/>
      <c r="C93" s="180" t="s">
        <v>1388</v>
      </c>
      <c r="D93" s="178"/>
      <c r="E93" s="179"/>
      <c r="F93" s="186"/>
      <c r="G93" s="185"/>
      <c r="H93" s="181"/>
      <c r="I93" s="179"/>
      <c r="J93" s="179"/>
      <c r="K93" s="178"/>
      <c r="L93" s="179"/>
      <c r="M93" s="189"/>
      <c r="N93" s="190"/>
      <c r="O93" s="191"/>
      <c r="P93" s="191"/>
      <c r="Q93" s="191"/>
      <c r="R93" s="191"/>
    </row>
    <row r="94" spans="1:18" s="167" customFormat="1" ht="15.95" customHeight="1">
      <c r="A94" s="316">
        <v>58</v>
      </c>
      <c r="B94" s="177" t="s">
        <v>1490</v>
      </c>
      <c r="C94" s="178" t="s">
        <v>1491</v>
      </c>
      <c r="D94" s="178" t="s">
        <v>62</v>
      </c>
      <c r="E94" s="179">
        <v>275</v>
      </c>
      <c r="F94" s="186"/>
      <c r="G94" s="185"/>
      <c r="H94" s="186"/>
      <c r="I94" s="179"/>
      <c r="J94" s="179"/>
      <c r="K94" s="178"/>
      <c r="L94" s="179"/>
      <c r="M94" s="189"/>
      <c r="N94" s="190"/>
      <c r="O94" s="191"/>
      <c r="P94" s="191"/>
      <c r="Q94" s="191"/>
      <c r="R94" s="191"/>
    </row>
    <row r="95" spans="1:18" s="167" customFormat="1" ht="15.95" customHeight="1">
      <c r="A95" s="316">
        <v>59</v>
      </c>
      <c r="B95" s="177" t="s">
        <v>1490</v>
      </c>
      <c r="C95" s="178" t="s">
        <v>1492</v>
      </c>
      <c r="D95" s="178" t="s">
        <v>62</v>
      </c>
      <c r="E95" s="179">
        <v>875</v>
      </c>
      <c r="F95" s="186"/>
      <c r="G95" s="185"/>
      <c r="H95" s="186"/>
      <c r="I95" s="179"/>
      <c r="J95" s="179"/>
      <c r="K95" s="178"/>
      <c r="L95" s="179"/>
      <c r="M95" s="189"/>
      <c r="N95" s="190"/>
      <c r="O95" s="191"/>
      <c r="P95" s="191"/>
      <c r="Q95" s="191"/>
      <c r="R95" s="191"/>
    </row>
    <row r="96" spans="1:18" s="167" customFormat="1" ht="15.95" customHeight="1">
      <c r="A96" s="316">
        <v>60</v>
      </c>
      <c r="B96" s="177"/>
      <c r="C96" s="178" t="s">
        <v>1493</v>
      </c>
      <c r="D96" s="178" t="s">
        <v>62</v>
      </c>
      <c r="E96" s="179">
        <v>65</v>
      </c>
      <c r="F96" s="186"/>
      <c r="G96" s="185"/>
      <c r="H96" s="186"/>
      <c r="I96" s="179"/>
      <c r="J96" s="179"/>
      <c r="K96" s="178"/>
      <c r="L96" s="179"/>
      <c r="M96" s="189"/>
      <c r="N96" s="190"/>
      <c r="O96" s="191"/>
      <c r="P96" s="191"/>
      <c r="Q96" s="191"/>
      <c r="R96" s="191"/>
    </row>
    <row r="97" spans="1:18" s="167" customFormat="1" ht="15.95" customHeight="1">
      <c r="A97" s="316">
        <v>61</v>
      </c>
      <c r="B97" s="177" t="s">
        <v>1494</v>
      </c>
      <c r="C97" s="178" t="s">
        <v>1495</v>
      </c>
      <c r="D97" s="178" t="s">
        <v>62</v>
      </c>
      <c r="E97" s="179">
        <v>155</v>
      </c>
      <c r="F97" s="186"/>
      <c r="G97" s="185"/>
      <c r="H97" s="186"/>
      <c r="I97" s="179"/>
      <c r="J97" s="179"/>
      <c r="K97" s="178"/>
      <c r="L97" s="179"/>
      <c r="M97" s="189"/>
      <c r="N97" s="190"/>
      <c r="O97" s="191"/>
      <c r="P97" s="191"/>
      <c r="Q97" s="191"/>
      <c r="R97" s="191"/>
    </row>
    <row r="98" spans="1:18" s="167" customFormat="1" ht="15.95" customHeight="1">
      <c r="A98" s="316">
        <v>62</v>
      </c>
      <c r="B98" s="177" t="s">
        <v>1496</v>
      </c>
      <c r="C98" s="178" t="s">
        <v>1497</v>
      </c>
      <c r="D98" s="178" t="s">
        <v>62</v>
      </c>
      <c r="E98" s="179">
        <v>545</v>
      </c>
      <c r="F98" s="186"/>
      <c r="G98" s="185"/>
      <c r="H98" s="186"/>
      <c r="I98" s="179"/>
      <c r="J98" s="179"/>
      <c r="K98" s="178"/>
      <c r="L98" s="179"/>
      <c r="M98" s="189"/>
      <c r="N98" s="190"/>
      <c r="O98" s="191"/>
      <c r="P98" s="191"/>
      <c r="Q98" s="191"/>
      <c r="R98" s="191"/>
    </row>
    <row r="99" spans="1:18" s="167" customFormat="1" ht="15.95" customHeight="1">
      <c r="A99" s="316">
        <v>63</v>
      </c>
      <c r="B99" s="177" t="s">
        <v>1496</v>
      </c>
      <c r="C99" s="178" t="s">
        <v>1498</v>
      </c>
      <c r="D99" s="178" t="s">
        <v>62</v>
      </c>
      <c r="E99" s="179">
        <v>30</v>
      </c>
      <c r="F99" s="186"/>
      <c r="G99" s="185"/>
      <c r="H99" s="186"/>
      <c r="I99" s="179"/>
      <c r="J99" s="179"/>
      <c r="K99" s="178"/>
      <c r="L99" s="179"/>
      <c r="M99" s="189"/>
      <c r="N99" s="190"/>
      <c r="O99" s="191"/>
      <c r="P99" s="191"/>
      <c r="Q99" s="191"/>
      <c r="R99" s="191"/>
    </row>
    <row r="100" spans="1:18" s="167" customFormat="1" ht="15.95" customHeight="1">
      <c r="A100" s="316">
        <v>64</v>
      </c>
      <c r="B100" s="177" t="s">
        <v>1499</v>
      </c>
      <c r="C100" s="178" t="s">
        <v>1500</v>
      </c>
      <c r="D100" s="178" t="s">
        <v>62</v>
      </c>
      <c r="E100" s="179">
        <v>55</v>
      </c>
      <c r="F100" s="186"/>
      <c r="G100" s="185"/>
      <c r="H100" s="186"/>
      <c r="I100" s="179"/>
      <c r="J100" s="179"/>
      <c r="K100" s="178"/>
      <c r="L100" s="179"/>
      <c r="M100" s="189"/>
      <c r="N100" s="190"/>
      <c r="O100" s="191"/>
      <c r="P100" s="191"/>
      <c r="Q100" s="191"/>
      <c r="R100" s="191"/>
    </row>
    <row r="101" spans="1:18" s="167" customFormat="1" ht="15.95" customHeight="1">
      <c r="A101" s="316"/>
      <c r="B101" s="177"/>
      <c r="C101" s="180" t="s">
        <v>1501</v>
      </c>
      <c r="D101" s="178"/>
      <c r="E101" s="179"/>
      <c r="F101" s="186"/>
      <c r="G101" s="185"/>
      <c r="H101" s="186"/>
      <c r="I101" s="179"/>
      <c r="J101" s="179"/>
      <c r="K101" s="178"/>
      <c r="L101" s="179"/>
      <c r="M101" s="189"/>
      <c r="N101" s="190"/>
      <c r="O101" s="191"/>
      <c r="P101" s="191"/>
      <c r="Q101" s="191"/>
      <c r="R101" s="191"/>
    </row>
    <row r="102" spans="1:18" s="167" customFormat="1" ht="15.95" customHeight="1">
      <c r="A102" s="316">
        <v>65</v>
      </c>
      <c r="B102" s="177" t="s">
        <v>1502</v>
      </c>
      <c r="C102" s="178" t="s">
        <v>1503</v>
      </c>
      <c r="D102" s="178" t="s">
        <v>62</v>
      </c>
      <c r="E102" s="179">
        <v>45</v>
      </c>
      <c r="F102" s="186"/>
      <c r="G102" s="185"/>
      <c r="H102" s="186"/>
      <c r="I102" s="179"/>
      <c r="J102" s="179"/>
      <c r="K102" s="178"/>
      <c r="L102" s="179"/>
      <c r="M102" s="189"/>
      <c r="N102" s="190"/>
      <c r="O102" s="191"/>
      <c r="P102" s="191"/>
      <c r="Q102" s="191"/>
      <c r="R102" s="191"/>
    </row>
    <row r="103" spans="1:18" s="167" customFormat="1" ht="15.95" customHeight="1">
      <c r="A103" s="316"/>
      <c r="B103" s="177"/>
      <c r="C103" s="180" t="s">
        <v>1504</v>
      </c>
      <c r="D103" s="180" t="s">
        <v>1373</v>
      </c>
      <c r="E103" s="187"/>
      <c r="F103" s="187"/>
      <c r="G103" s="179"/>
      <c r="H103" s="180"/>
      <c r="I103" s="179"/>
      <c r="J103" s="179"/>
      <c r="K103" s="178"/>
      <c r="L103" s="179"/>
      <c r="M103" s="189"/>
      <c r="N103" s="190"/>
      <c r="O103" s="191"/>
      <c r="P103" s="191"/>
      <c r="Q103" s="191"/>
      <c r="R103" s="191"/>
    </row>
    <row r="104" spans="1:18" s="167" customFormat="1" ht="15.95" customHeight="1">
      <c r="A104" s="316">
        <v>66</v>
      </c>
      <c r="B104" s="177" t="s">
        <v>1505</v>
      </c>
      <c r="C104" s="178" t="s">
        <v>1506</v>
      </c>
      <c r="D104" s="178" t="s">
        <v>1376</v>
      </c>
      <c r="E104" s="179">
        <v>2</v>
      </c>
      <c r="F104" s="179"/>
      <c r="G104" s="179"/>
      <c r="H104" s="184"/>
      <c r="I104" s="179"/>
      <c r="J104" s="179"/>
      <c r="K104" s="178"/>
      <c r="L104" s="179"/>
      <c r="M104" s="189"/>
      <c r="N104" s="190"/>
      <c r="O104" s="191"/>
      <c r="P104" s="191"/>
      <c r="Q104" s="191"/>
      <c r="R104" s="191"/>
    </row>
    <row r="105" spans="1:18" s="167" customFormat="1" ht="15.95" customHeight="1">
      <c r="A105" s="316"/>
      <c r="B105" s="177"/>
      <c r="C105" s="180" t="s">
        <v>1507</v>
      </c>
      <c r="D105" s="180" t="s">
        <v>1373</v>
      </c>
      <c r="E105" s="187"/>
      <c r="F105" s="187"/>
      <c r="G105" s="179"/>
      <c r="H105" s="180"/>
      <c r="I105" s="179"/>
      <c r="J105" s="179"/>
      <c r="K105" s="178"/>
      <c r="L105" s="179"/>
      <c r="M105" s="189"/>
      <c r="N105" s="190"/>
      <c r="O105" s="191"/>
      <c r="P105" s="191"/>
      <c r="Q105" s="191"/>
      <c r="R105" s="191"/>
    </row>
    <row r="106" spans="1:18" s="167" customFormat="1" ht="15.95" customHeight="1">
      <c r="A106" s="316">
        <v>67</v>
      </c>
      <c r="B106" s="177" t="s">
        <v>1508</v>
      </c>
      <c r="C106" s="178" t="s">
        <v>1509</v>
      </c>
      <c r="D106" s="178" t="s">
        <v>1376</v>
      </c>
      <c r="E106" s="179">
        <v>2</v>
      </c>
      <c r="F106" s="186"/>
      <c r="G106" s="185"/>
      <c r="H106" s="195"/>
      <c r="I106" s="179"/>
      <c r="J106" s="179"/>
      <c r="K106" s="183"/>
      <c r="L106" s="179"/>
      <c r="M106" s="189"/>
      <c r="N106" s="190"/>
      <c r="O106" s="191"/>
      <c r="P106" s="191"/>
      <c r="Q106" s="191"/>
      <c r="R106" s="191"/>
    </row>
    <row r="107" spans="1:18" s="167" customFormat="1" ht="15.95" customHeight="1">
      <c r="A107" s="316">
        <v>68</v>
      </c>
      <c r="B107" s="177" t="s">
        <v>1510</v>
      </c>
      <c r="C107" s="178" t="s">
        <v>1511</v>
      </c>
      <c r="D107" s="178" t="s">
        <v>1376</v>
      </c>
      <c r="E107" s="179">
        <v>2</v>
      </c>
      <c r="F107" s="186"/>
      <c r="G107" s="185"/>
      <c r="H107" s="195"/>
      <c r="I107" s="179"/>
      <c r="J107" s="179"/>
      <c r="K107" s="183"/>
      <c r="L107" s="179"/>
      <c r="M107" s="189"/>
      <c r="N107" s="190"/>
      <c r="O107" s="191"/>
      <c r="P107" s="191"/>
      <c r="Q107" s="191"/>
      <c r="R107" s="191"/>
    </row>
    <row r="108" spans="1:18" s="167" customFormat="1" ht="15.95" customHeight="1">
      <c r="A108" s="316">
        <v>69</v>
      </c>
      <c r="B108" s="177" t="s">
        <v>1413</v>
      </c>
      <c r="C108" s="178" t="s">
        <v>1468</v>
      </c>
      <c r="D108" s="178" t="s">
        <v>1376</v>
      </c>
      <c r="E108" s="179">
        <v>29</v>
      </c>
      <c r="F108" s="186"/>
      <c r="G108" s="185"/>
      <c r="H108" s="195"/>
      <c r="I108" s="179"/>
      <c r="J108" s="179"/>
      <c r="K108" s="183"/>
      <c r="L108" s="179"/>
      <c r="M108" s="189"/>
      <c r="N108" s="190"/>
      <c r="O108" s="191"/>
      <c r="P108" s="191"/>
      <c r="Q108" s="191"/>
      <c r="R108" s="191"/>
    </row>
    <row r="109" spans="1:18" s="167" customFormat="1" ht="15.95" customHeight="1">
      <c r="A109" s="316"/>
      <c r="B109" s="177"/>
      <c r="C109" s="180" t="s">
        <v>1512</v>
      </c>
      <c r="D109" s="183"/>
      <c r="E109" s="198"/>
      <c r="F109" s="199"/>
      <c r="G109" s="198"/>
      <c r="H109" s="200"/>
      <c r="I109" s="198"/>
      <c r="J109" s="198"/>
      <c r="K109" s="183"/>
      <c r="L109" s="198"/>
      <c r="M109" s="189"/>
      <c r="N109" s="190"/>
      <c r="O109" s="191"/>
      <c r="P109" s="191"/>
      <c r="Q109" s="191"/>
      <c r="R109" s="191"/>
    </row>
    <row r="110" spans="1:18" s="167" customFormat="1" ht="15.95" customHeight="1">
      <c r="A110" s="316">
        <v>70</v>
      </c>
      <c r="B110" s="177" t="s">
        <v>1513</v>
      </c>
      <c r="C110" s="178" t="s">
        <v>1514</v>
      </c>
      <c r="D110" s="178" t="s">
        <v>57</v>
      </c>
      <c r="E110" s="179">
        <v>0.1</v>
      </c>
      <c r="F110" s="186"/>
      <c r="G110" s="185"/>
      <c r="H110" s="181"/>
      <c r="I110" s="179"/>
      <c r="J110" s="179"/>
      <c r="K110" s="178"/>
      <c r="L110" s="179"/>
      <c r="M110" s="189"/>
      <c r="N110" s="190"/>
      <c r="O110" s="191"/>
      <c r="P110" s="191"/>
      <c r="Q110" s="191"/>
      <c r="R110" s="191"/>
    </row>
    <row r="111" spans="1:18" s="167" customFormat="1" ht="15.95" customHeight="1">
      <c r="A111" s="316">
        <v>71</v>
      </c>
      <c r="B111" s="177" t="s">
        <v>1515</v>
      </c>
      <c r="C111" s="178" t="s">
        <v>1516</v>
      </c>
      <c r="D111" s="178" t="s">
        <v>57</v>
      </c>
      <c r="E111" s="179">
        <v>0.1</v>
      </c>
      <c r="F111" s="186"/>
      <c r="G111" s="185"/>
      <c r="H111" s="181"/>
      <c r="I111" s="179"/>
      <c r="J111" s="179"/>
      <c r="K111" s="178"/>
      <c r="L111" s="179"/>
      <c r="M111" s="189"/>
      <c r="N111" s="190"/>
      <c r="O111" s="191"/>
      <c r="P111" s="191"/>
      <c r="Q111" s="191"/>
      <c r="R111" s="191"/>
    </row>
    <row r="112" spans="1:18" s="167" customFormat="1" ht="15.95" customHeight="1">
      <c r="A112" s="316"/>
      <c r="B112" s="177"/>
      <c r="C112" s="180" t="s">
        <v>1517</v>
      </c>
      <c r="D112" s="178"/>
      <c r="E112" s="179"/>
      <c r="F112" s="179"/>
      <c r="G112" s="179"/>
      <c r="H112" s="181"/>
      <c r="I112" s="179"/>
      <c r="J112" s="179"/>
      <c r="K112" s="179"/>
      <c r="L112" s="179"/>
      <c r="M112" s="189"/>
      <c r="N112" s="190"/>
      <c r="O112" s="191"/>
      <c r="P112" s="191"/>
      <c r="Q112" s="191"/>
      <c r="R112" s="191"/>
    </row>
    <row r="113" spans="1:18" s="167" customFormat="1" ht="15.95" customHeight="1">
      <c r="A113" s="316">
        <v>72</v>
      </c>
      <c r="B113" s="177" t="s">
        <v>1518</v>
      </c>
      <c r="C113" s="178" t="s">
        <v>1519</v>
      </c>
      <c r="D113" s="178" t="s">
        <v>1376</v>
      </c>
      <c r="E113" s="179">
        <v>1</v>
      </c>
      <c r="F113" s="186"/>
      <c r="G113" s="185"/>
      <c r="H113" s="181"/>
      <c r="I113" s="179"/>
      <c r="J113" s="179"/>
      <c r="K113" s="178"/>
      <c r="L113" s="179"/>
      <c r="M113" s="189"/>
      <c r="N113" s="190"/>
      <c r="O113" s="191"/>
      <c r="P113" s="191"/>
      <c r="Q113" s="191"/>
      <c r="R113" s="191"/>
    </row>
    <row r="114" spans="1:18" s="167" customFormat="1" ht="15.95" customHeight="1">
      <c r="A114" s="316">
        <v>73</v>
      </c>
      <c r="B114" s="177" t="s">
        <v>1465</v>
      </c>
      <c r="C114" s="178" t="s">
        <v>1466</v>
      </c>
      <c r="D114" s="178" t="s">
        <v>1376</v>
      </c>
      <c r="E114" s="179">
        <v>4</v>
      </c>
      <c r="F114" s="186"/>
      <c r="G114" s="185"/>
      <c r="H114" s="181"/>
      <c r="I114" s="179"/>
      <c r="J114" s="179"/>
      <c r="K114" s="178"/>
      <c r="L114" s="179"/>
      <c r="M114" s="189"/>
      <c r="N114" s="190"/>
      <c r="O114" s="191"/>
      <c r="P114" s="191"/>
      <c r="Q114" s="191"/>
      <c r="R114" s="191"/>
    </row>
    <row r="115" spans="1:18" s="167" customFormat="1" ht="15.95" customHeight="1">
      <c r="A115" s="316"/>
      <c r="B115" s="177"/>
      <c r="C115" s="180" t="s">
        <v>1520</v>
      </c>
      <c r="D115" s="201"/>
      <c r="E115" s="202"/>
      <c r="F115" s="203"/>
      <c r="G115" s="204"/>
      <c r="H115" s="205"/>
      <c r="I115" s="202"/>
      <c r="J115" s="202"/>
      <c r="K115" s="201"/>
      <c r="L115" s="202"/>
      <c r="M115" s="189"/>
      <c r="N115" s="190"/>
      <c r="O115" s="191"/>
      <c r="P115" s="191"/>
      <c r="Q115" s="191"/>
      <c r="R115" s="191"/>
    </row>
    <row r="116" spans="1:18" s="167" customFormat="1" ht="15.95" customHeight="1">
      <c r="A116" s="316">
        <v>74</v>
      </c>
      <c r="B116" s="177"/>
      <c r="C116" s="178" t="s">
        <v>1521</v>
      </c>
      <c r="D116" s="178" t="s">
        <v>1376</v>
      </c>
      <c r="E116" s="179">
        <v>4</v>
      </c>
      <c r="F116" s="186"/>
      <c r="G116" s="185"/>
      <c r="H116" s="181"/>
      <c r="I116" s="179"/>
      <c r="J116" s="179"/>
      <c r="K116" s="178"/>
      <c r="L116" s="179"/>
      <c r="M116" s="189"/>
      <c r="N116" s="190"/>
      <c r="O116" s="191"/>
      <c r="P116" s="191"/>
      <c r="Q116" s="191"/>
      <c r="R116" s="191"/>
    </row>
    <row r="117" spans="1:18" s="167" customFormat="1" ht="15.95" customHeight="1">
      <c r="A117" s="316"/>
      <c r="B117" s="177"/>
      <c r="C117" s="180" t="s">
        <v>1522</v>
      </c>
      <c r="D117" s="201"/>
      <c r="E117" s="202"/>
      <c r="F117" s="203"/>
      <c r="G117" s="204"/>
      <c r="H117" s="205"/>
      <c r="I117" s="202"/>
      <c r="J117" s="202"/>
      <c r="K117" s="201"/>
      <c r="L117" s="202"/>
      <c r="M117" s="189"/>
      <c r="N117" s="190"/>
      <c r="O117" s="191"/>
      <c r="P117" s="191"/>
      <c r="Q117" s="191"/>
      <c r="R117" s="191"/>
    </row>
    <row r="118" spans="1:18" s="167" customFormat="1" ht="15.95" customHeight="1">
      <c r="A118" s="316">
        <v>75</v>
      </c>
      <c r="B118" s="177" t="s">
        <v>1523</v>
      </c>
      <c r="C118" s="183" t="s">
        <v>1524</v>
      </c>
      <c r="D118" s="178" t="s">
        <v>1376</v>
      </c>
      <c r="E118" s="179">
        <v>1</v>
      </c>
      <c r="F118" s="186"/>
      <c r="G118" s="185"/>
      <c r="H118" s="181"/>
      <c r="I118" s="179"/>
      <c r="J118" s="179"/>
      <c r="K118" s="178"/>
      <c r="L118" s="179"/>
      <c r="M118" s="189"/>
      <c r="N118" s="190"/>
      <c r="O118" s="191"/>
      <c r="P118" s="191"/>
      <c r="Q118" s="191"/>
      <c r="R118" s="191"/>
    </row>
    <row r="119" spans="1:18" s="167" customFormat="1" ht="15.95" customHeight="1">
      <c r="A119" s="316"/>
      <c r="B119" s="177"/>
      <c r="C119" s="180" t="s">
        <v>1525</v>
      </c>
      <c r="D119" s="201"/>
      <c r="E119" s="202"/>
      <c r="F119" s="203"/>
      <c r="G119" s="204"/>
      <c r="H119" s="205"/>
      <c r="I119" s="202"/>
      <c r="J119" s="202"/>
      <c r="K119" s="201"/>
      <c r="L119" s="202"/>
      <c r="M119" s="189"/>
      <c r="N119" s="190"/>
      <c r="O119" s="191"/>
      <c r="P119" s="191"/>
      <c r="Q119" s="191"/>
      <c r="R119" s="191"/>
    </row>
    <row r="120" spans="1:18" s="167" customFormat="1" ht="15.95" customHeight="1">
      <c r="A120" s="316">
        <v>76</v>
      </c>
      <c r="B120" s="177" t="s">
        <v>1526</v>
      </c>
      <c r="C120" s="178" t="s">
        <v>1527</v>
      </c>
      <c r="D120" s="178" t="s">
        <v>1376</v>
      </c>
      <c r="E120" s="179">
        <v>1</v>
      </c>
      <c r="F120" s="186"/>
      <c r="G120" s="185"/>
      <c r="H120" s="181"/>
      <c r="I120" s="179"/>
      <c r="J120" s="179"/>
      <c r="K120" s="178"/>
      <c r="L120" s="179"/>
      <c r="M120" s="189"/>
      <c r="N120" s="190"/>
      <c r="O120" s="191"/>
      <c r="P120" s="191"/>
      <c r="Q120" s="191"/>
      <c r="R120" s="191"/>
    </row>
    <row r="121" spans="1:18" s="167" customFormat="1" ht="15.95" customHeight="1">
      <c r="A121" s="316"/>
      <c r="B121" s="177"/>
      <c r="C121" s="180" t="s">
        <v>1528</v>
      </c>
      <c r="D121" s="206"/>
      <c r="E121" s="206"/>
      <c r="F121" s="206"/>
      <c r="G121" s="206"/>
      <c r="H121" s="206"/>
      <c r="I121" s="206"/>
      <c r="J121" s="206"/>
      <c r="K121" s="206"/>
      <c r="L121" s="206"/>
      <c r="M121" s="189"/>
      <c r="N121" s="190"/>
      <c r="O121" s="191"/>
      <c r="P121" s="191"/>
      <c r="Q121" s="191"/>
      <c r="R121" s="191"/>
    </row>
    <row r="122" spans="1:18" s="167" customFormat="1" ht="15.95" customHeight="1">
      <c r="A122" s="316">
        <v>77</v>
      </c>
      <c r="B122" s="177" t="s">
        <v>1529</v>
      </c>
      <c r="C122" s="194" t="s">
        <v>1530</v>
      </c>
      <c r="D122" s="194" t="s">
        <v>62</v>
      </c>
      <c r="E122" s="197">
        <v>70</v>
      </c>
      <c r="F122" s="197"/>
      <c r="G122" s="197"/>
      <c r="H122" s="207"/>
      <c r="I122" s="179"/>
      <c r="J122" s="179"/>
      <c r="K122" s="178"/>
      <c r="L122" s="179"/>
      <c r="M122" s="189"/>
      <c r="N122" s="190"/>
      <c r="O122" s="191"/>
      <c r="P122" s="191"/>
      <c r="Q122" s="191"/>
      <c r="R122" s="191"/>
    </row>
    <row r="123" spans="1:18" s="167" customFormat="1" ht="15.95" customHeight="1">
      <c r="A123" s="316">
        <v>78</v>
      </c>
      <c r="B123" s="177"/>
      <c r="C123" s="194" t="s">
        <v>1531</v>
      </c>
      <c r="D123" s="194" t="s">
        <v>62</v>
      </c>
      <c r="E123" s="197">
        <v>15</v>
      </c>
      <c r="F123" s="197"/>
      <c r="G123" s="197"/>
      <c r="H123" s="207"/>
      <c r="I123" s="179"/>
      <c r="J123" s="179"/>
      <c r="K123" s="178"/>
      <c r="L123" s="179"/>
      <c r="M123" s="189"/>
      <c r="N123" s="190"/>
      <c r="O123" s="208"/>
      <c r="P123" s="208"/>
      <c r="Q123" s="208"/>
      <c r="R123" s="208"/>
    </row>
    <row r="124" spans="1:18" s="167" customFormat="1" ht="15.95" customHeight="1">
      <c r="A124" s="316">
        <v>79</v>
      </c>
      <c r="B124" s="177"/>
      <c r="C124" s="194" t="s">
        <v>1532</v>
      </c>
      <c r="D124" s="194" t="s">
        <v>62</v>
      </c>
      <c r="E124" s="197">
        <v>105</v>
      </c>
      <c r="F124" s="197"/>
      <c r="G124" s="197"/>
      <c r="H124" s="207"/>
      <c r="I124" s="179"/>
      <c r="J124" s="179"/>
      <c r="K124" s="178"/>
      <c r="L124" s="179"/>
      <c r="M124" s="189"/>
      <c r="N124" s="190"/>
      <c r="O124" s="208"/>
      <c r="P124" s="208"/>
      <c r="Q124" s="208"/>
      <c r="R124" s="208"/>
    </row>
    <row r="125" spans="1:18" s="167" customFormat="1" ht="15.95" customHeight="1">
      <c r="A125" s="316">
        <v>80</v>
      </c>
      <c r="B125" s="177"/>
      <c r="C125" s="194" t="s">
        <v>1533</v>
      </c>
      <c r="D125" s="194" t="s">
        <v>62</v>
      </c>
      <c r="E125" s="197">
        <v>55</v>
      </c>
      <c r="F125" s="197"/>
      <c r="G125" s="197"/>
      <c r="H125" s="207"/>
      <c r="I125" s="179"/>
      <c r="J125" s="179"/>
      <c r="K125" s="178"/>
      <c r="L125" s="179"/>
      <c r="M125" s="189"/>
      <c r="N125" s="190"/>
      <c r="O125" s="208"/>
      <c r="P125" s="208"/>
      <c r="Q125" s="208"/>
      <c r="R125" s="208"/>
    </row>
    <row r="126" spans="1:18" s="167" customFormat="1" ht="15.95" customHeight="1">
      <c r="A126" s="316">
        <v>81</v>
      </c>
      <c r="B126" s="177"/>
      <c r="C126" s="194" t="s">
        <v>1534</v>
      </c>
      <c r="D126" s="194" t="s">
        <v>1376</v>
      </c>
      <c r="E126" s="197">
        <v>8</v>
      </c>
      <c r="F126" s="197"/>
      <c r="G126" s="197"/>
      <c r="H126" s="207"/>
      <c r="I126" s="179"/>
      <c r="J126" s="179"/>
      <c r="K126" s="178"/>
      <c r="L126" s="179"/>
      <c r="M126" s="189"/>
      <c r="N126" s="190"/>
      <c r="O126" s="208"/>
      <c r="P126" s="208"/>
      <c r="Q126" s="208"/>
      <c r="R126" s="208"/>
    </row>
    <row r="127" spans="1:18" s="167" customFormat="1" ht="15.95" customHeight="1">
      <c r="A127" s="316">
        <v>82</v>
      </c>
      <c r="B127" s="177"/>
      <c r="C127" s="194" t="s">
        <v>1535</v>
      </c>
      <c r="D127" s="194" t="s">
        <v>1376</v>
      </c>
      <c r="E127" s="197">
        <v>22</v>
      </c>
      <c r="F127" s="197"/>
      <c r="G127" s="197"/>
      <c r="H127" s="207"/>
      <c r="I127" s="179"/>
      <c r="J127" s="179"/>
      <c r="K127" s="178"/>
      <c r="L127" s="179"/>
      <c r="M127" s="189"/>
      <c r="N127" s="190"/>
      <c r="O127" s="208"/>
      <c r="P127" s="208"/>
      <c r="Q127" s="208"/>
      <c r="R127" s="208"/>
    </row>
    <row r="128" spans="1:18" s="167" customFormat="1" ht="15.95" customHeight="1">
      <c r="A128" s="316">
        <v>83</v>
      </c>
      <c r="B128" s="177"/>
      <c r="C128" s="194" t="s">
        <v>1536</v>
      </c>
      <c r="D128" s="194" t="s">
        <v>1376</v>
      </c>
      <c r="E128" s="197">
        <v>7</v>
      </c>
      <c r="F128" s="197"/>
      <c r="G128" s="197"/>
      <c r="H128" s="207"/>
      <c r="I128" s="179"/>
      <c r="J128" s="179"/>
      <c r="K128" s="178"/>
      <c r="L128" s="179"/>
      <c r="M128" s="189"/>
      <c r="N128" s="190"/>
      <c r="O128" s="208"/>
      <c r="P128" s="208"/>
      <c r="Q128" s="208"/>
      <c r="R128" s="208"/>
    </row>
    <row r="129" spans="1:18" s="167" customFormat="1" ht="15.95" customHeight="1">
      <c r="A129" s="316">
        <v>84</v>
      </c>
      <c r="B129" s="177"/>
      <c r="C129" s="194" t="s">
        <v>1537</v>
      </c>
      <c r="D129" s="194" t="s">
        <v>1376</v>
      </c>
      <c r="E129" s="197">
        <v>7</v>
      </c>
      <c r="F129" s="197"/>
      <c r="G129" s="197"/>
      <c r="H129" s="207"/>
      <c r="I129" s="179"/>
      <c r="J129" s="179"/>
      <c r="K129" s="178"/>
      <c r="L129" s="179"/>
      <c r="M129" s="189"/>
      <c r="N129" s="190"/>
      <c r="O129" s="208"/>
      <c r="P129" s="208"/>
      <c r="Q129" s="208"/>
      <c r="R129" s="208"/>
    </row>
    <row r="130" spans="1:18" s="167" customFormat="1" ht="15.95" customHeight="1">
      <c r="A130" s="316">
        <v>85</v>
      </c>
      <c r="B130" s="177"/>
      <c r="C130" s="194" t="s">
        <v>1538</v>
      </c>
      <c r="D130" s="194" t="s">
        <v>1376</v>
      </c>
      <c r="E130" s="197">
        <v>7</v>
      </c>
      <c r="F130" s="197"/>
      <c r="G130" s="197"/>
      <c r="H130" s="207"/>
      <c r="I130" s="179"/>
      <c r="J130" s="179"/>
      <c r="K130" s="197"/>
      <c r="L130" s="179"/>
      <c r="M130" s="189"/>
      <c r="N130" s="190"/>
      <c r="O130" s="208"/>
      <c r="P130" s="208"/>
      <c r="Q130" s="208"/>
      <c r="R130" s="208"/>
    </row>
    <row r="131" spans="1:18" s="167" customFormat="1" ht="15.95" customHeight="1">
      <c r="A131" s="316">
        <v>86</v>
      </c>
      <c r="B131" s="177"/>
      <c r="C131" s="194" t="s">
        <v>1539</v>
      </c>
      <c r="D131" s="194" t="s">
        <v>1376</v>
      </c>
      <c r="E131" s="197">
        <v>1</v>
      </c>
      <c r="F131" s="197"/>
      <c r="G131" s="197"/>
      <c r="H131" s="207"/>
      <c r="I131" s="179"/>
      <c r="J131" s="179"/>
      <c r="K131" s="197"/>
      <c r="L131" s="179"/>
      <c r="M131" s="189"/>
      <c r="N131" s="190"/>
      <c r="O131" s="208"/>
      <c r="P131" s="208"/>
      <c r="Q131" s="208"/>
      <c r="R131" s="208"/>
    </row>
    <row r="132" spans="1:18" s="167" customFormat="1" ht="15.95" customHeight="1">
      <c r="A132" s="316">
        <v>87</v>
      </c>
      <c r="B132" s="177"/>
      <c r="C132" s="194" t="s">
        <v>1540</v>
      </c>
      <c r="D132" s="194" t="s">
        <v>1376</v>
      </c>
      <c r="E132" s="197">
        <v>7</v>
      </c>
      <c r="F132" s="197"/>
      <c r="G132" s="197"/>
      <c r="H132" s="207"/>
      <c r="I132" s="179"/>
      <c r="J132" s="179"/>
      <c r="K132" s="197"/>
      <c r="L132" s="179"/>
      <c r="M132" s="189"/>
      <c r="N132" s="190"/>
      <c r="O132" s="208"/>
      <c r="P132" s="208"/>
      <c r="Q132" s="208"/>
      <c r="R132" s="208"/>
    </row>
    <row r="133" spans="1:18" s="167" customFormat="1" ht="15.95" customHeight="1">
      <c r="A133" s="316">
        <v>88</v>
      </c>
      <c r="B133" s="177"/>
      <c r="C133" s="194" t="s">
        <v>1541</v>
      </c>
      <c r="D133" s="194" t="s">
        <v>1376</v>
      </c>
      <c r="E133" s="197">
        <v>1</v>
      </c>
      <c r="F133" s="197"/>
      <c r="G133" s="197"/>
      <c r="H133" s="207"/>
      <c r="I133" s="179"/>
      <c r="J133" s="179"/>
      <c r="K133" s="197"/>
      <c r="L133" s="179"/>
      <c r="M133" s="189"/>
      <c r="N133" s="190"/>
      <c r="O133" s="208"/>
      <c r="P133" s="208"/>
      <c r="Q133" s="208"/>
      <c r="R133" s="208"/>
    </row>
    <row r="134" spans="1:18" s="167" customFormat="1" ht="15.95" customHeight="1">
      <c r="A134" s="316">
        <v>89</v>
      </c>
      <c r="B134" s="177"/>
      <c r="C134" s="194" t="s">
        <v>1542</v>
      </c>
      <c r="D134" s="194" t="s">
        <v>1376</v>
      </c>
      <c r="E134" s="197">
        <v>2</v>
      </c>
      <c r="F134" s="197"/>
      <c r="G134" s="197"/>
      <c r="H134" s="207"/>
      <c r="I134" s="179"/>
      <c r="J134" s="179"/>
      <c r="K134" s="197"/>
      <c r="L134" s="179"/>
      <c r="M134" s="189"/>
      <c r="N134" s="190"/>
      <c r="O134" s="208"/>
      <c r="P134" s="208"/>
      <c r="Q134" s="208"/>
      <c r="R134" s="208"/>
    </row>
    <row r="135" spans="1:18" s="167" customFormat="1" ht="15.95" customHeight="1">
      <c r="A135" s="316">
        <v>90</v>
      </c>
      <c r="B135" s="177"/>
      <c r="C135" s="178" t="s">
        <v>1543</v>
      </c>
      <c r="D135" s="178" t="s">
        <v>1376</v>
      </c>
      <c r="E135" s="179">
        <v>3</v>
      </c>
      <c r="F135" s="179"/>
      <c r="G135" s="179"/>
      <c r="H135" s="184"/>
      <c r="I135" s="179"/>
      <c r="J135" s="179"/>
      <c r="K135" s="179"/>
      <c r="L135" s="179"/>
      <c r="M135" s="189"/>
      <c r="N135" s="190"/>
      <c r="O135" s="208"/>
      <c r="P135" s="208"/>
      <c r="Q135" s="208"/>
      <c r="R135" s="208"/>
    </row>
    <row r="136" spans="1:18" s="167" customFormat="1" ht="15.95" customHeight="1">
      <c r="A136" s="316">
        <v>91</v>
      </c>
      <c r="B136" s="177"/>
      <c r="C136" s="178" t="s">
        <v>1544</v>
      </c>
      <c r="D136" s="178" t="s">
        <v>1376</v>
      </c>
      <c r="E136" s="179">
        <v>2</v>
      </c>
      <c r="F136" s="179"/>
      <c r="G136" s="179"/>
      <c r="H136" s="184"/>
      <c r="I136" s="179"/>
      <c r="J136" s="179"/>
      <c r="K136" s="179"/>
      <c r="L136" s="179"/>
      <c r="M136" s="189"/>
      <c r="N136" s="190"/>
      <c r="O136" s="208"/>
      <c r="P136" s="208"/>
      <c r="Q136" s="208"/>
      <c r="R136" s="208"/>
    </row>
    <row r="137" spans="1:18" s="167" customFormat="1" ht="15.95" customHeight="1">
      <c r="A137" s="316">
        <v>92</v>
      </c>
      <c r="B137" s="177"/>
      <c r="C137" s="178" t="s">
        <v>1545</v>
      </c>
      <c r="D137" s="178" t="s">
        <v>1376</v>
      </c>
      <c r="E137" s="179">
        <v>85</v>
      </c>
      <c r="F137" s="179"/>
      <c r="G137" s="179"/>
      <c r="H137" s="184"/>
      <c r="I137" s="179"/>
      <c r="J137" s="179"/>
      <c r="K137" s="179"/>
      <c r="L137" s="179"/>
      <c r="M137" s="189"/>
      <c r="N137" s="190"/>
      <c r="O137" s="208"/>
      <c r="P137" s="208"/>
      <c r="Q137" s="208"/>
      <c r="R137" s="208"/>
    </row>
    <row r="138" spans="1:18" s="167" customFormat="1" ht="15.95" customHeight="1">
      <c r="A138" s="316">
        <v>93</v>
      </c>
      <c r="B138" s="177" t="s">
        <v>1465</v>
      </c>
      <c r="C138" s="178" t="s">
        <v>1546</v>
      </c>
      <c r="D138" s="178" t="s">
        <v>1376</v>
      </c>
      <c r="E138" s="179">
        <v>160</v>
      </c>
      <c r="F138" s="186"/>
      <c r="G138" s="185"/>
      <c r="H138" s="181"/>
      <c r="I138" s="179"/>
      <c r="J138" s="179"/>
      <c r="K138" s="178"/>
      <c r="L138" s="179"/>
      <c r="M138" s="189"/>
      <c r="N138" s="190"/>
      <c r="O138" s="208"/>
      <c r="P138" s="208"/>
      <c r="Q138" s="208"/>
      <c r="R138" s="208"/>
    </row>
    <row r="139" spans="1:18" s="167" customFormat="1" ht="15.95" customHeight="1">
      <c r="A139" s="316">
        <v>94</v>
      </c>
      <c r="B139" s="177"/>
      <c r="C139" s="194" t="s">
        <v>1547</v>
      </c>
      <c r="D139" s="194" t="s">
        <v>1376</v>
      </c>
      <c r="E139" s="197">
        <v>8</v>
      </c>
      <c r="F139" s="197"/>
      <c r="G139" s="197"/>
      <c r="H139" s="207"/>
      <c r="I139" s="179"/>
      <c r="J139" s="179"/>
      <c r="K139" s="197"/>
      <c r="L139" s="179"/>
      <c r="M139" s="189"/>
      <c r="N139" s="190"/>
      <c r="O139" s="208"/>
      <c r="P139" s="208"/>
      <c r="Q139" s="208"/>
      <c r="R139" s="208"/>
    </row>
    <row r="140" spans="1:18" s="167" customFormat="1" ht="15.95" customHeight="1">
      <c r="A140" s="316"/>
      <c r="B140" s="192"/>
      <c r="C140" s="180" t="s">
        <v>1548</v>
      </c>
      <c r="D140" s="180" t="s">
        <v>1373</v>
      </c>
      <c r="E140" s="187"/>
      <c r="F140" s="186"/>
      <c r="G140" s="185"/>
      <c r="H140" s="181"/>
      <c r="I140" s="179"/>
      <c r="J140" s="179"/>
      <c r="K140" s="193"/>
      <c r="L140" s="179"/>
      <c r="M140" s="209"/>
      <c r="N140" s="210"/>
      <c r="O140" s="211" t="s">
        <v>1373</v>
      </c>
      <c r="P140" s="211" t="s">
        <v>1373</v>
      </c>
      <c r="Q140" s="211" t="s">
        <v>1373</v>
      </c>
      <c r="R140" s="211" t="s">
        <v>1549</v>
      </c>
    </row>
    <row r="141" spans="1:18" s="167" customFormat="1" ht="15.95" customHeight="1">
      <c r="A141" s="316">
        <v>95</v>
      </c>
      <c r="B141" s="194"/>
      <c r="C141" s="178" t="s">
        <v>1550</v>
      </c>
      <c r="D141" s="178" t="s">
        <v>813</v>
      </c>
      <c r="E141" s="179">
        <v>4</v>
      </c>
      <c r="F141" s="186"/>
      <c r="G141" s="185"/>
      <c r="H141" s="181"/>
      <c r="I141" s="179"/>
      <c r="J141" s="179"/>
      <c r="K141" s="178"/>
      <c r="L141" s="179"/>
      <c r="M141" s="189"/>
      <c r="N141" s="190"/>
      <c r="O141" s="191"/>
      <c r="P141" s="191"/>
      <c r="Q141" s="191"/>
      <c r="R141" s="191"/>
    </row>
    <row r="142" spans="1:18" s="167" customFormat="1" ht="15.95" customHeight="1">
      <c r="A142" s="316">
        <v>96</v>
      </c>
      <c r="B142" s="194"/>
      <c r="C142" s="178" t="s">
        <v>1551</v>
      </c>
      <c r="D142" s="178" t="s">
        <v>813</v>
      </c>
      <c r="E142" s="179">
        <v>6</v>
      </c>
      <c r="F142" s="186"/>
      <c r="G142" s="185"/>
      <c r="H142" s="181"/>
      <c r="I142" s="179"/>
      <c r="J142" s="179"/>
      <c r="K142" s="178"/>
      <c r="L142" s="179"/>
      <c r="M142" s="189"/>
      <c r="N142" s="190"/>
      <c r="O142" s="191"/>
      <c r="P142" s="191"/>
      <c r="Q142" s="191"/>
      <c r="R142" s="191"/>
    </row>
    <row r="143" spans="1:18" s="167" customFormat="1" ht="15.95" customHeight="1">
      <c r="A143" s="316">
        <v>97</v>
      </c>
      <c r="B143" s="194"/>
      <c r="C143" s="178" t="s">
        <v>1552</v>
      </c>
      <c r="D143" s="178" t="s">
        <v>813</v>
      </c>
      <c r="E143" s="179">
        <v>6</v>
      </c>
      <c r="F143" s="186"/>
      <c r="G143" s="185"/>
      <c r="H143" s="181"/>
      <c r="I143" s="179"/>
      <c r="J143" s="179"/>
      <c r="K143" s="178"/>
      <c r="L143" s="179"/>
      <c r="M143" s="189"/>
      <c r="N143" s="190"/>
      <c r="O143" s="191"/>
      <c r="P143" s="191"/>
      <c r="Q143" s="191"/>
      <c r="R143" s="191"/>
    </row>
    <row r="144" spans="1:18" s="167" customFormat="1" ht="15.95" customHeight="1">
      <c r="A144" s="316">
        <v>98</v>
      </c>
      <c r="B144" s="194"/>
      <c r="C144" s="178" t="s">
        <v>1553</v>
      </c>
      <c r="D144" s="178" t="s">
        <v>813</v>
      </c>
      <c r="E144" s="179">
        <v>4</v>
      </c>
      <c r="F144" s="186"/>
      <c r="G144" s="185"/>
      <c r="H144" s="181"/>
      <c r="I144" s="179"/>
      <c r="J144" s="179"/>
      <c r="K144" s="178"/>
      <c r="L144" s="179"/>
      <c r="M144" s="189"/>
      <c r="N144" s="190"/>
      <c r="O144" s="191"/>
      <c r="P144" s="191"/>
      <c r="Q144" s="191"/>
      <c r="R144" s="191"/>
    </row>
    <row r="145" spans="1:18" s="167" customFormat="1" ht="15.95" customHeight="1">
      <c r="A145" s="316">
        <v>99</v>
      </c>
      <c r="B145" s="194"/>
      <c r="C145" s="178" t="s">
        <v>1554</v>
      </c>
      <c r="D145" s="178" t="s">
        <v>813</v>
      </c>
      <c r="E145" s="179">
        <v>2</v>
      </c>
      <c r="F145" s="186"/>
      <c r="G145" s="185"/>
      <c r="H145" s="181"/>
      <c r="I145" s="179"/>
      <c r="J145" s="179"/>
      <c r="K145" s="178"/>
      <c r="L145" s="179"/>
      <c r="M145" s="189"/>
      <c r="N145" s="190"/>
      <c r="O145" s="191"/>
      <c r="P145" s="191"/>
      <c r="Q145" s="191"/>
      <c r="R145" s="191"/>
    </row>
    <row r="146" spans="1:18" s="167" customFormat="1" ht="15.95" customHeight="1">
      <c r="A146" s="316"/>
      <c r="B146" s="192"/>
      <c r="C146" s="180" t="s">
        <v>1555</v>
      </c>
      <c r="D146" s="180" t="s">
        <v>1373</v>
      </c>
      <c r="E146" s="187"/>
      <c r="F146" s="186"/>
      <c r="G146" s="185"/>
      <c r="H146" s="181"/>
      <c r="I146" s="179"/>
      <c r="J146" s="179"/>
      <c r="K146" s="193"/>
      <c r="L146" s="179"/>
      <c r="M146" s="209"/>
      <c r="N146" s="210"/>
      <c r="O146" s="211" t="s">
        <v>1373</v>
      </c>
      <c r="P146" s="211" t="s">
        <v>1373</v>
      </c>
      <c r="Q146" s="211" t="s">
        <v>1373</v>
      </c>
      <c r="R146" s="211" t="s">
        <v>1549</v>
      </c>
    </row>
    <row r="147" spans="1:18" s="167" customFormat="1" ht="15.95" customHeight="1">
      <c r="A147" s="316">
        <v>100</v>
      </c>
      <c r="B147" s="194" t="s">
        <v>1373</v>
      </c>
      <c r="C147" s="178" t="s">
        <v>1556</v>
      </c>
      <c r="D147" s="178" t="s">
        <v>813</v>
      </c>
      <c r="E147" s="179">
        <v>30</v>
      </c>
      <c r="F147" s="186"/>
      <c r="G147" s="185"/>
      <c r="H147" s="181"/>
      <c r="I147" s="179"/>
      <c r="J147" s="179"/>
      <c r="K147" s="178"/>
      <c r="L147" s="179"/>
      <c r="M147" s="189">
        <v>0</v>
      </c>
      <c r="N147" s="190">
        <v>0</v>
      </c>
      <c r="O147" s="191" t="s">
        <v>1373</v>
      </c>
      <c r="P147" s="191" t="s">
        <v>1373</v>
      </c>
      <c r="Q147" s="191" t="s">
        <v>1373</v>
      </c>
      <c r="R147" s="191" t="s">
        <v>1373</v>
      </c>
    </row>
    <row r="148" spans="1:18" s="167" customFormat="1" ht="15.95" customHeight="1">
      <c r="A148" s="316">
        <v>101</v>
      </c>
      <c r="B148" s="194" t="s">
        <v>1373</v>
      </c>
      <c r="C148" s="178" t="s">
        <v>1557</v>
      </c>
      <c r="D148" s="178" t="s">
        <v>813</v>
      </c>
      <c r="E148" s="179">
        <v>2</v>
      </c>
      <c r="F148" s="186"/>
      <c r="G148" s="185"/>
      <c r="H148" s="181"/>
      <c r="I148" s="179"/>
      <c r="J148" s="179"/>
      <c r="K148" s="178"/>
      <c r="L148" s="179"/>
      <c r="M148" s="189">
        <v>0</v>
      </c>
      <c r="N148" s="190">
        <v>0</v>
      </c>
      <c r="O148" s="191" t="s">
        <v>1373</v>
      </c>
      <c r="P148" s="191" t="s">
        <v>1373</v>
      </c>
      <c r="Q148" s="191" t="s">
        <v>1373</v>
      </c>
      <c r="R148" s="191" t="s">
        <v>1373</v>
      </c>
    </row>
    <row r="149" spans="1:18" s="167" customFormat="1" ht="15.95" customHeight="1">
      <c r="A149" s="315"/>
      <c r="B149" s="194"/>
      <c r="C149" s="169" t="s">
        <v>1558</v>
      </c>
      <c r="D149" s="169" t="s">
        <v>1373</v>
      </c>
      <c r="E149" s="170"/>
      <c r="F149" s="186"/>
      <c r="G149" s="170"/>
      <c r="H149" s="173"/>
      <c r="I149" s="170"/>
      <c r="J149" s="170"/>
      <c r="K149" s="169"/>
      <c r="L149" s="170"/>
      <c r="M149" s="189"/>
      <c r="N149" s="190"/>
      <c r="O149" s="191"/>
      <c r="P149" s="191"/>
      <c r="Q149" s="191"/>
      <c r="R149" s="191"/>
    </row>
    <row r="150" spans="1:18" s="167" customFormat="1" ht="15.95" customHeight="1">
      <c r="A150" s="315"/>
      <c r="B150" s="194"/>
      <c r="C150" s="169"/>
      <c r="D150" s="169"/>
      <c r="E150" s="170"/>
      <c r="F150" s="186"/>
      <c r="G150" s="170"/>
      <c r="H150" s="173"/>
      <c r="I150" s="170"/>
      <c r="J150" s="170"/>
      <c r="K150" s="169"/>
      <c r="L150" s="170"/>
      <c r="M150" s="189"/>
      <c r="N150" s="190"/>
      <c r="O150" s="191"/>
      <c r="P150" s="191"/>
      <c r="Q150" s="191"/>
      <c r="R150" s="191"/>
    </row>
    <row r="151" spans="1:18" ht="14.1" customHeight="1">
      <c r="A151" s="316"/>
      <c r="B151" s="194"/>
      <c r="C151" s="183"/>
      <c r="D151" s="183"/>
      <c r="E151" s="198"/>
      <c r="F151" s="195"/>
      <c r="G151" s="198"/>
      <c r="H151" s="200"/>
      <c r="I151" s="198"/>
      <c r="J151" s="198"/>
      <c r="K151" s="183"/>
      <c r="L151" s="198"/>
      <c r="M151" s="212"/>
      <c r="N151" s="213"/>
      <c r="O151" s="214" t="s">
        <v>1373</v>
      </c>
      <c r="P151" s="214" t="s">
        <v>1373</v>
      </c>
      <c r="Q151" s="214" t="s">
        <v>1373</v>
      </c>
      <c r="R151" s="214" t="s">
        <v>1374</v>
      </c>
    </row>
    <row r="152" spans="1:18">
      <c r="B152" s="215"/>
      <c r="C152" s="215"/>
      <c r="D152" s="215"/>
      <c r="E152" s="216"/>
      <c r="F152" s="215"/>
      <c r="G152" s="215"/>
      <c r="H152" s="217"/>
      <c r="I152" s="217"/>
      <c r="J152" s="217"/>
      <c r="K152" s="215"/>
      <c r="L152" s="217"/>
    </row>
    <row r="153" spans="1:18">
      <c r="B153" s="215"/>
      <c r="C153" s="215"/>
      <c r="D153" s="215"/>
      <c r="E153" s="216"/>
      <c r="F153" s="215"/>
      <c r="G153" s="215"/>
      <c r="H153" s="217"/>
      <c r="I153" s="217"/>
      <c r="J153" s="217"/>
      <c r="K153" s="215"/>
      <c r="L153" s="217"/>
    </row>
  </sheetData>
  <mergeCells count="2">
    <mergeCell ref="A4:H4"/>
    <mergeCell ref="A1:H1"/>
  </mergeCells>
  <pageMargins left="0.78740157480314965" right="0.78740157480314965" top="0.98425196850393704" bottom="0.98425196850393704" header="0.51181102362204722" footer="0.51181102362204722"/>
  <pageSetup paperSize="9" scale="60" fitToHeight="5" orientation="landscape" horizontalDpi="4294967294" r:id="rId1"/>
  <headerFooter alignWithMargins="0">
    <oddFooter>Stránka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181"/>
  <sheetViews>
    <sheetView zoomScaleSheetLayoutView="100" workbookViewId="0">
      <selection activeCell="M170" sqref="M170"/>
    </sheetView>
  </sheetViews>
  <sheetFormatPr defaultColWidth="9" defaultRowHeight="12"/>
  <cols>
    <col min="1" max="1" width="3.7109375" style="223" customWidth="1"/>
    <col min="2" max="2" width="4.5703125" style="223" customWidth="1"/>
    <col min="3" max="3" width="43.85546875" style="233" customWidth="1"/>
    <col min="4" max="4" width="7.85546875" style="223" customWidth="1"/>
    <col min="5" max="5" width="4.28515625" style="223" customWidth="1"/>
    <col min="6" max="6" width="9.85546875" style="223" customWidth="1"/>
    <col min="7" max="7" width="16.28515625" style="223" customWidth="1"/>
    <col min="8" max="256" width="9" style="223"/>
    <col min="257" max="257" width="3.7109375" style="223" customWidth="1"/>
    <col min="258" max="258" width="4.5703125" style="223" customWidth="1"/>
    <col min="259" max="259" width="43.85546875" style="223" customWidth="1"/>
    <col min="260" max="260" width="7.85546875" style="223" customWidth="1"/>
    <col min="261" max="261" width="4.28515625" style="223" customWidth="1"/>
    <col min="262" max="262" width="9.85546875" style="223" customWidth="1"/>
    <col min="263" max="263" width="16.28515625" style="223" customWidth="1"/>
    <col min="264" max="512" width="9" style="223"/>
    <col min="513" max="513" width="3.7109375" style="223" customWidth="1"/>
    <col min="514" max="514" width="4.5703125" style="223" customWidth="1"/>
    <col min="515" max="515" width="43.85546875" style="223" customWidth="1"/>
    <col min="516" max="516" width="7.85546875" style="223" customWidth="1"/>
    <col min="517" max="517" width="4.28515625" style="223" customWidth="1"/>
    <col min="518" max="518" width="9.85546875" style="223" customWidth="1"/>
    <col min="519" max="519" width="16.28515625" style="223" customWidth="1"/>
    <col min="520" max="768" width="9" style="223"/>
    <col min="769" max="769" width="3.7109375" style="223" customWidth="1"/>
    <col min="770" max="770" width="4.5703125" style="223" customWidth="1"/>
    <col min="771" max="771" width="43.85546875" style="223" customWidth="1"/>
    <col min="772" max="772" width="7.85546875" style="223" customWidth="1"/>
    <col min="773" max="773" width="4.28515625" style="223" customWidth="1"/>
    <col min="774" max="774" width="9.85546875" style="223" customWidth="1"/>
    <col min="775" max="775" width="16.28515625" style="223" customWidth="1"/>
    <col min="776" max="1024" width="9" style="223"/>
    <col min="1025" max="1025" width="3.7109375" style="223" customWidth="1"/>
    <col min="1026" max="1026" width="4.5703125" style="223" customWidth="1"/>
    <col min="1027" max="1027" width="43.85546875" style="223" customWidth="1"/>
    <col min="1028" max="1028" width="7.85546875" style="223" customWidth="1"/>
    <col min="1029" max="1029" width="4.28515625" style="223" customWidth="1"/>
    <col min="1030" max="1030" width="9.85546875" style="223" customWidth="1"/>
    <col min="1031" max="1031" width="16.28515625" style="223" customWidth="1"/>
    <col min="1032" max="1280" width="9" style="223"/>
    <col min="1281" max="1281" width="3.7109375" style="223" customWidth="1"/>
    <col min="1282" max="1282" width="4.5703125" style="223" customWidth="1"/>
    <col min="1283" max="1283" width="43.85546875" style="223" customWidth="1"/>
    <col min="1284" max="1284" width="7.85546875" style="223" customWidth="1"/>
    <col min="1285" max="1285" width="4.28515625" style="223" customWidth="1"/>
    <col min="1286" max="1286" width="9.85546875" style="223" customWidth="1"/>
    <col min="1287" max="1287" width="16.28515625" style="223" customWidth="1"/>
    <col min="1288" max="1536" width="9" style="223"/>
    <col min="1537" max="1537" width="3.7109375" style="223" customWidth="1"/>
    <col min="1538" max="1538" width="4.5703125" style="223" customWidth="1"/>
    <col min="1539" max="1539" width="43.85546875" style="223" customWidth="1"/>
    <col min="1540" max="1540" width="7.85546875" style="223" customWidth="1"/>
    <col min="1541" max="1541" width="4.28515625" style="223" customWidth="1"/>
    <col min="1542" max="1542" width="9.85546875" style="223" customWidth="1"/>
    <col min="1543" max="1543" width="16.28515625" style="223" customWidth="1"/>
    <col min="1544" max="1792" width="9" style="223"/>
    <col min="1793" max="1793" width="3.7109375" style="223" customWidth="1"/>
    <col min="1794" max="1794" width="4.5703125" style="223" customWidth="1"/>
    <col min="1795" max="1795" width="43.85546875" style="223" customWidth="1"/>
    <col min="1796" max="1796" width="7.85546875" style="223" customWidth="1"/>
    <col min="1797" max="1797" width="4.28515625" style="223" customWidth="1"/>
    <col min="1798" max="1798" width="9.85546875" style="223" customWidth="1"/>
    <col min="1799" max="1799" width="16.28515625" style="223" customWidth="1"/>
    <col min="1800" max="2048" width="9" style="223"/>
    <col min="2049" max="2049" width="3.7109375" style="223" customWidth="1"/>
    <col min="2050" max="2050" width="4.5703125" style="223" customWidth="1"/>
    <col min="2051" max="2051" width="43.85546875" style="223" customWidth="1"/>
    <col min="2052" max="2052" width="7.85546875" style="223" customWidth="1"/>
    <col min="2053" max="2053" width="4.28515625" style="223" customWidth="1"/>
    <col min="2054" max="2054" width="9.85546875" style="223" customWidth="1"/>
    <col min="2055" max="2055" width="16.28515625" style="223" customWidth="1"/>
    <col min="2056" max="2304" width="9" style="223"/>
    <col min="2305" max="2305" width="3.7109375" style="223" customWidth="1"/>
    <col min="2306" max="2306" width="4.5703125" style="223" customWidth="1"/>
    <col min="2307" max="2307" width="43.85546875" style="223" customWidth="1"/>
    <col min="2308" max="2308" width="7.85546875" style="223" customWidth="1"/>
    <col min="2309" max="2309" width="4.28515625" style="223" customWidth="1"/>
    <col min="2310" max="2310" width="9.85546875" style="223" customWidth="1"/>
    <col min="2311" max="2311" width="16.28515625" style="223" customWidth="1"/>
    <col min="2312" max="2560" width="9" style="223"/>
    <col min="2561" max="2561" width="3.7109375" style="223" customWidth="1"/>
    <col min="2562" max="2562" width="4.5703125" style="223" customWidth="1"/>
    <col min="2563" max="2563" width="43.85546875" style="223" customWidth="1"/>
    <col min="2564" max="2564" width="7.85546875" style="223" customWidth="1"/>
    <col min="2565" max="2565" width="4.28515625" style="223" customWidth="1"/>
    <col min="2566" max="2566" width="9.85546875" style="223" customWidth="1"/>
    <col min="2567" max="2567" width="16.28515625" style="223" customWidth="1"/>
    <col min="2568" max="2816" width="9" style="223"/>
    <col min="2817" max="2817" width="3.7109375" style="223" customWidth="1"/>
    <col min="2818" max="2818" width="4.5703125" style="223" customWidth="1"/>
    <col min="2819" max="2819" width="43.85546875" style="223" customWidth="1"/>
    <col min="2820" max="2820" width="7.85546875" style="223" customWidth="1"/>
    <col min="2821" max="2821" width="4.28515625" style="223" customWidth="1"/>
    <col min="2822" max="2822" width="9.85546875" style="223" customWidth="1"/>
    <col min="2823" max="2823" width="16.28515625" style="223" customWidth="1"/>
    <col min="2824" max="3072" width="9" style="223"/>
    <col min="3073" max="3073" width="3.7109375" style="223" customWidth="1"/>
    <col min="3074" max="3074" width="4.5703125" style="223" customWidth="1"/>
    <col min="3075" max="3075" width="43.85546875" style="223" customWidth="1"/>
    <col min="3076" max="3076" width="7.85546875" style="223" customWidth="1"/>
    <col min="3077" max="3077" width="4.28515625" style="223" customWidth="1"/>
    <col min="3078" max="3078" width="9.85546875" style="223" customWidth="1"/>
    <col min="3079" max="3079" width="16.28515625" style="223" customWidth="1"/>
    <col min="3080" max="3328" width="9" style="223"/>
    <col min="3329" max="3329" width="3.7109375" style="223" customWidth="1"/>
    <col min="3330" max="3330" width="4.5703125" style="223" customWidth="1"/>
    <col min="3331" max="3331" width="43.85546875" style="223" customWidth="1"/>
    <col min="3332" max="3332" width="7.85546875" style="223" customWidth="1"/>
    <col min="3333" max="3333" width="4.28515625" style="223" customWidth="1"/>
    <col min="3334" max="3334" width="9.85546875" style="223" customWidth="1"/>
    <col min="3335" max="3335" width="16.28515625" style="223" customWidth="1"/>
    <col min="3336" max="3584" width="9" style="223"/>
    <col min="3585" max="3585" width="3.7109375" style="223" customWidth="1"/>
    <col min="3586" max="3586" width="4.5703125" style="223" customWidth="1"/>
    <col min="3587" max="3587" width="43.85546875" style="223" customWidth="1"/>
    <col min="3588" max="3588" width="7.85546875" style="223" customWidth="1"/>
    <col min="3589" max="3589" width="4.28515625" style="223" customWidth="1"/>
    <col min="3590" max="3590" width="9.85546875" style="223" customWidth="1"/>
    <col min="3591" max="3591" width="16.28515625" style="223" customWidth="1"/>
    <col min="3592" max="3840" width="9" style="223"/>
    <col min="3841" max="3841" width="3.7109375" style="223" customWidth="1"/>
    <col min="3842" max="3842" width="4.5703125" style="223" customWidth="1"/>
    <col min="3843" max="3843" width="43.85546875" style="223" customWidth="1"/>
    <col min="3844" max="3844" width="7.85546875" style="223" customWidth="1"/>
    <col min="3845" max="3845" width="4.28515625" style="223" customWidth="1"/>
    <col min="3846" max="3846" width="9.85546875" style="223" customWidth="1"/>
    <col min="3847" max="3847" width="16.28515625" style="223" customWidth="1"/>
    <col min="3848" max="4096" width="9" style="223"/>
    <col min="4097" max="4097" width="3.7109375" style="223" customWidth="1"/>
    <col min="4098" max="4098" width="4.5703125" style="223" customWidth="1"/>
    <col min="4099" max="4099" width="43.85546875" style="223" customWidth="1"/>
    <col min="4100" max="4100" width="7.85546875" style="223" customWidth="1"/>
    <col min="4101" max="4101" width="4.28515625" style="223" customWidth="1"/>
    <col min="4102" max="4102" width="9.85546875" style="223" customWidth="1"/>
    <col min="4103" max="4103" width="16.28515625" style="223" customWidth="1"/>
    <col min="4104" max="4352" width="9" style="223"/>
    <col min="4353" max="4353" width="3.7109375" style="223" customWidth="1"/>
    <col min="4354" max="4354" width="4.5703125" style="223" customWidth="1"/>
    <col min="4355" max="4355" width="43.85546875" style="223" customWidth="1"/>
    <col min="4356" max="4356" width="7.85546875" style="223" customWidth="1"/>
    <col min="4357" max="4357" width="4.28515625" style="223" customWidth="1"/>
    <col min="4358" max="4358" width="9.85546875" style="223" customWidth="1"/>
    <col min="4359" max="4359" width="16.28515625" style="223" customWidth="1"/>
    <col min="4360" max="4608" width="9" style="223"/>
    <col min="4609" max="4609" width="3.7109375" style="223" customWidth="1"/>
    <col min="4610" max="4610" width="4.5703125" style="223" customWidth="1"/>
    <col min="4611" max="4611" width="43.85546875" style="223" customWidth="1"/>
    <col min="4612" max="4612" width="7.85546875" style="223" customWidth="1"/>
    <col min="4613" max="4613" width="4.28515625" style="223" customWidth="1"/>
    <col min="4614" max="4614" width="9.85546875" style="223" customWidth="1"/>
    <col min="4615" max="4615" width="16.28515625" style="223" customWidth="1"/>
    <col min="4616" max="4864" width="9" style="223"/>
    <col min="4865" max="4865" width="3.7109375" style="223" customWidth="1"/>
    <col min="4866" max="4866" width="4.5703125" style="223" customWidth="1"/>
    <col min="4867" max="4867" width="43.85546875" style="223" customWidth="1"/>
    <col min="4868" max="4868" width="7.85546875" style="223" customWidth="1"/>
    <col min="4869" max="4869" width="4.28515625" style="223" customWidth="1"/>
    <col min="4870" max="4870" width="9.85546875" style="223" customWidth="1"/>
    <col min="4871" max="4871" width="16.28515625" style="223" customWidth="1"/>
    <col min="4872" max="5120" width="9" style="223"/>
    <col min="5121" max="5121" width="3.7109375" style="223" customWidth="1"/>
    <col min="5122" max="5122" width="4.5703125" style="223" customWidth="1"/>
    <col min="5123" max="5123" width="43.85546875" style="223" customWidth="1"/>
    <col min="5124" max="5124" width="7.85546875" style="223" customWidth="1"/>
    <col min="5125" max="5125" width="4.28515625" style="223" customWidth="1"/>
    <col min="5126" max="5126" width="9.85546875" style="223" customWidth="1"/>
    <col min="5127" max="5127" width="16.28515625" style="223" customWidth="1"/>
    <col min="5128" max="5376" width="9" style="223"/>
    <col min="5377" max="5377" width="3.7109375" style="223" customWidth="1"/>
    <col min="5378" max="5378" width="4.5703125" style="223" customWidth="1"/>
    <col min="5379" max="5379" width="43.85546875" style="223" customWidth="1"/>
    <col min="5380" max="5380" width="7.85546875" style="223" customWidth="1"/>
    <col min="5381" max="5381" width="4.28515625" style="223" customWidth="1"/>
    <col min="5382" max="5382" width="9.85546875" style="223" customWidth="1"/>
    <col min="5383" max="5383" width="16.28515625" style="223" customWidth="1"/>
    <col min="5384" max="5632" width="9" style="223"/>
    <col min="5633" max="5633" width="3.7109375" style="223" customWidth="1"/>
    <col min="5634" max="5634" width="4.5703125" style="223" customWidth="1"/>
    <col min="5635" max="5635" width="43.85546875" style="223" customWidth="1"/>
    <col min="5636" max="5636" width="7.85546875" style="223" customWidth="1"/>
    <col min="5637" max="5637" width="4.28515625" style="223" customWidth="1"/>
    <col min="5638" max="5638" width="9.85546875" style="223" customWidth="1"/>
    <col min="5639" max="5639" width="16.28515625" style="223" customWidth="1"/>
    <col min="5640" max="5888" width="9" style="223"/>
    <col min="5889" max="5889" width="3.7109375" style="223" customWidth="1"/>
    <col min="5890" max="5890" width="4.5703125" style="223" customWidth="1"/>
    <col min="5891" max="5891" width="43.85546875" style="223" customWidth="1"/>
    <col min="5892" max="5892" width="7.85546875" style="223" customWidth="1"/>
    <col min="5893" max="5893" width="4.28515625" style="223" customWidth="1"/>
    <col min="5894" max="5894" width="9.85546875" style="223" customWidth="1"/>
    <col min="5895" max="5895" width="16.28515625" style="223" customWidth="1"/>
    <col min="5896" max="6144" width="9" style="223"/>
    <col min="6145" max="6145" width="3.7109375" style="223" customWidth="1"/>
    <col min="6146" max="6146" width="4.5703125" style="223" customWidth="1"/>
    <col min="6147" max="6147" width="43.85546875" style="223" customWidth="1"/>
    <col min="6148" max="6148" width="7.85546875" style="223" customWidth="1"/>
    <col min="6149" max="6149" width="4.28515625" style="223" customWidth="1"/>
    <col min="6150" max="6150" width="9.85546875" style="223" customWidth="1"/>
    <col min="6151" max="6151" width="16.28515625" style="223" customWidth="1"/>
    <col min="6152" max="6400" width="9" style="223"/>
    <col min="6401" max="6401" width="3.7109375" style="223" customWidth="1"/>
    <col min="6402" max="6402" width="4.5703125" style="223" customWidth="1"/>
    <col min="6403" max="6403" width="43.85546875" style="223" customWidth="1"/>
    <col min="6404" max="6404" width="7.85546875" style="223" customWidth="1"/>
    <col min="6405" max="6405" width="4.28515625" style="223" customWidth="1"/>
    <col min="6406" max="6406" width="9.85546875" style="223" customWidth="1"/>
    <col min="6407" max="6407" width="16.28515625" style="223" customWidth="1"/>
    <col min="6408" max="6656" width="9" style="223"/>
    <col min="6657" max="6657" width="3.7109375" style="223" customWidth="1"/>
    <col min="6658" max="6658" width="4.5703125" style="223" customWidth="1"/>
    <col min="6659" max="6659" width="43.85546875" style="223" customWidth="1"/>
    <col min="6660" max="6660" width="7.85546875" style="223" customWidth="1"/>
    <col min="6661" max="6661" width="4.28515625" style="223" customWidth="1"/>
    <col min="6662" max="6662" width="9.85546875" style="223" customWidth="1"/>
    <col min="6663" max="6663" width="16.28515625" style="223" customWidth="1"/>
    <col min="6664" max="6912" width="9" style="223"/>
    <col min="6913" max="6913" width="3.7109375" style="223" customWidth="1"/>
    <col min="6914" max="6914" width="4.5703125" style="223" customWidth="1"/>
    <col min="6915" max="6915" width="43.85546875" style="223" customWidth="1"/>
    <col min="6916" max="6916" width="7.85546875" style="223" customWidth="1"/>
    <col min="6917" max="6917" width="4.28515625" style="223" customWidth="1"/>
    <col min="6918" max="6918" width="9.85546875" style="223" customWidth="1"/>
    <col min="6919" max="6919" width="16.28515625" style="223" customWidth="1"/>
    <col min="6920" max="7168" width="9" style="223"/>
    <col min="7169" max="7169" width="3.7109375" style="223" customWidth="1"/>
    <col min="7170" max="7170" width="4.5703125" style="223" customWidth="1"/>
    <col min="7171" max="7171" width="43.85546875" style="223" customWidth="1"/>
    <col min="7172" max="7172" width="7.85546875" style="223" customWidth="1"/>
    <col min="7173" max="7173" width="4.28515625" style="223" customWidth="1"/>
    <col min="7174" max="7174" width="9.85546875" style="223" customWidth="1"/>
    <col min="7175" max="7175" width="16.28515625" style="223" customWidth="1"/>
    <col min="7176" max="7424" width="9" style="223"/>
    <col min="7425" max="7425" width="3.7109375" style="223" customWidth="1"/>
    <col min="7426" max="7426" width="4.5703125" style="223" customWidth="1"/>
    <col min="7427" max="7427" width="43.85546875" style="223" customWidth="1"/>
    <col min="7428" max="7428" width="7.85546875" style="223" customWidth="1"/>
    <col min="7429" max="7429" width="4.28515625" style="223" customWidth="1"/>
    <col min="7430" max="7430" width="9.85546875" style="223" customWidth="1"/>
    <col min="7431" max="7431" width="16.28515625" style="223" customWidth="1"/>
    <col min="7432" max="7680" width="9" style="223"/>
    <col min="7681" max="7681" width="3.7109375" style="223" customWidth="1"/>
    <col min="7682" max="7682" width="4.5703125" style="223" customWidth="1"/>
    <col min="7683" max="7683" width="43.85546875" style="223" customWidth="1"/>
    <col min="7684" max="7684" width="7.85546875" style="223" customWidth="1"/>
    <col min="7685" max="7685" width="4.28515625" style="223" customWidth="1"/>
    <col min="7686" max="7686" width="9.85546875" style="223" customWidth="1"/>
    <col min="7687" max="7687" width="16.28515625" style="223" customWidth="1"/>
    <col min="7688" max="7936" width="9" style="223"/>
    <col min="7937" max="7937" width="3.7109375" style="223" customWidth="1"/>
    <col min="7938" max="7938" width="4.5703125" style="223" customWidth="1"/>
    <col min="7939" max="7939" width="43.85546875" style="223" customWidth="1"/>
    <col min="7940" max="7940" width="7.85546875" style="223" customWidth="1"/>
    <col min="7941" max="7941" width="4.28515625" style="223" customWidth="1"/>
    <col min="7942" max="7942" width="9.85546875" style="223" customWidth="1"/>
    <col min="7943" max="7943" width="16.28515625" style="223" customWidth="1"/>
    <col min="7944" max="8192" width="9" style="223"/>
    <col min="8193" max="8193" width="3.7109375" style="223" customWidth="1"/>
    <col min="8194" max="8194" width="4.5703125" style="223" customWidth="1"/>
    <col min="8195" max="8195" width="43.85546875" style="223" customWidth="1"/>
    <col min="8196" max="8196" width="7.85546875" style="223" customWidth="1"/>
    <col min="8197" max="8197" width="4.28515625" style="223" customWidth="1"/>
    <col min="8198" max="8198" width="9.85546875" style="223" customWidth="1"/>
    <col min="8199" max="8199" width="16.28515625" style="223" customWidth="1"/>
    <col min="8200" max="8448" width="9" style="223"/>
    <col min="8449" max="8449" width="3.7109375" style="223" customWidth="1"/>
    <col min="8450" max="8450" width="4.5703125" style="223" customWidth="1"/>
    <col min="8451" max="8451" width="43.85546875" style="223" customWidth="1"/>
    <col min="8452" max="8452" width="7.85546875" style="223" customWidth="1"/>
    <col min="8453" max="8453" width="4.28515625" style="223" customWidth="1"/>
    <col min="8454" max="8454" width="9.85546875" style="223" customWidth="1"/>
    <col min="8455" max="8455" width="16.28515625" style="223" customWidth="1"/>
    <col min="8456" max="8704" width="9" style="223"/>
    <col min="8705" max="8705" width="3.7109375" style="223" customWidth="1"/>
    <col min="8706" max="8706" width="4.5703125" style="223" customWidth="1"/>
    <col min="8707" max="8707" width="43.85546875" style="223" customWidth="1"/>
    <col min="8708" max="8708" width="7.85546875" style="223" customWidth="1"/>
    <col min="8709" max="8709" width="4.28515625" style="223" customWidth="1"/>
    <col min="8710" max="8710" width="9.85546875" style="223" customWidth="1"/>
    <col min="8711" max="8711" width="16.28515625" style="223" customWidth="1"/>
    <col min="8712" max="8960" width="9" style="223"/>
    <col min="8961" max="8961" width="3.7109375" style="223" customWidth="1"/>
    <col min="8962" max="8962" width="4.5703125" style="223" customWidth="1"/>
    <col min="8963" max="8963" width="43.85546875" style="223" customWidth="1"/>
    <col min="8964" max="8964" width="7.85546875" style="223" customWidth="1"/>
    <col min="8965" max="8965" width="4.28515625" style="223" customWidth="1"/>
    <col min="8966" max="8966" width="9.85546875" style="223" customWidth="1"/>
    <col min="8967" max="8967" width="16.28515625" style="223" customWidth="1"/>
    <col min="8968" max="9216" width="9" style="223"/>
    <col min="9217" max="9217" width="3.7109375" style="223" customWidth="1"/>
    <col min="9218" max="9218" width="4.5703125" style="223" customWidth="1"/>
    <col min="9219" max="9219" width="43.85546875" style="223" customWidth="1"/>
    <col min="9220" max="9220" width="7.85546875" style="223" customWidth="1"/>
    <col min="9221" max="9221" width="4.28515625" style="223" customWidth="1"/>
    <col min="9222" max="9222" width="9.85546875" style="223" customWidth="1"/>
    <col min="9223" max="9223" width="16.28515625" style="223" customWidth="1"/>
    <col min="9224" max="9472" width="9" style="223"/>
    <col min="9473" max="9473" width="3.7109375" style="223" customWidth="1"/>
    <col min="9474" max="9474" width="4.5703125" style="223" customWidth="1"/>
    <col min="9475" max="9475" width="43.85546875" style="223" customWidth="1"/>
    <col min="9476" max="9476" width="7.85546875" style="223" customWidth="1"/>
    <col min="9477" max="9477" width="4.28515625" style="223" customWidth="1"/>
    <col min="9478" max="9478" width="9.85546875" style="223" customWidth="1"/>
    <col min="9479" max="9479" width="16.28515625" style="223" customWidth="1"/>
    <col min="9480" max="9728" width="9" style="223"/>
    <col min="9729" max="9729" width="3.7109375" style="223" customWidth="1"/>
    <col min="9730" max="9730" width="4.5703125" style="223" customWidth="1"/>
    <col min="9731" max="9731" width="43.85546875" style="223" customWidth="1"/>
    <col min="9732" max="9732" width="7.85546875" style="223" customWidth="1"/>
    <col min="9733" max="9733" width="4.28515625" style="223" customWidth="1"/>
    <col min="9734" max="9734" width="9.85546875" style="223" customWidth="1"/>
    <col min="9735" max="9735" width="16.28515625" style="223" customWidth="1"/>
    <col min="9736" max="9984" width="9" style="223"/>
    <col min="9985" max="9985" width="3.7109375" style="223" customWidth="1"/>
    <col min="9986" max="9986" width="4.5703125" style="223" customWidth="1"/>
    <col min="9987" max="9987" width="43.85546875" style="223" customWidth="1"/>
    <col min="9988" max="9988" width="7.85546875" style="223" customWidth="1"/>
    <col min="9989" max="9989" width="4.28515625" style="223" customWidth="1"/>
    <col min="9990" max="9990" width="9.85546875" style="223" customWidth="1"/>
    <col min="9991" max="9991" width="16.28515625" style="223" customWidth="1"/>
    <col min="9992" max="10240" width="9" style="223"/>
    <col min="10241" max="10241" width="3.7109375" style="223" customWidth="1"/>
    <col min="10242" max="10242" width="4.5703125" style="223" customWidth="1"/>
    <col min="10243" max="10243" width="43.85546875" style="223" customWidth="1"/>
    <col min="10244" max="10244" width="7.85546875" style="223" customWidth="1"/>
    <col min="10245" max="10245" width="4.28515625" style="223" customWidth="1"/>
    <col min="10246" max="10246" width="9.85546875" style="223" customWidth="1"/>
    <col min="10247" max="10247" width="16.28515625" style="223" customWidth="1"/>
    <col min="10248" max="10496" width="9" style="223"/>
    <col min="10497" max="10497" width="3.7109375" style="223" customWidth="1"/>
    <col min="10498" max="10498" width="4.5703125" style="223" customWidth="1"/>
    <col min="10499" max="10499" width="43.85546875" style="223" customWidth="1"/>
    <col min="10500" max="10500" width="7.85546875" style="223" customWidth="1"/>
    <col min="10501" max="10501" width="4.28515625" style="223" customWidth="1"/>
    <col min="10502" max="10502" width="9.85546875" style="223" customWidth="1"/>
    <col min="10503" max="10503" width="16.28515625" style="223" customWidth="1"/>
    <col min="10504" max="10752" width="9" style="223"/>
    <col min="10753" max="10753" width="3.7109375" style="223" customWidth="1"/>
    <col min="10754" max="10754" width="4.5703125" style="223" customWidth="1"/>
    <col min="10755" max="10755" width="43.85546875" style="223" customWidth="1"/>
    <col min="10756" max="10756" width="7.85546875" style="223" customWidth="1"/>
    <col min="10757" max="10757" width="4.28515625" style="223" customWidth="1"/>
    <col min="10758" max="10758" width="9.85546875" style="223" customWidth="1"/>
    <col min="10759" max="10759" width="16.28515625" style="223" customWidth="1"/>
    <col min="10760" max="11008" width="9" style="223"/>
    <col min="11009" max="11009" width="3.7109375" style="223" customWidth="1"/>
    <col min="11010" max="11010" width="4.5703125" style="223" customWidth="1"/>
    <col min="11011" max="11011" width="43.85546875" style="223" customWidth="1"/>
    <col min="11012" max="11012" width="7.85546875" style="223" customWidth="1"/>
    <col min="11013" max="11013" width="4.28515625" style="223" customWidth="1"/>
    <col min="11014" max="11014" width="9.85546875" style="223" customWidth="1"/>
    <col min="11015" max="11015" width="16.28515625" style="223" customWidth="1"/>
    <col min="11016" max="11264" width="9" style="223"/>
    <col min="11265" max="11265" width="3.7109375" style="223" customWidth="1"/>
    <col min="11266" max="11266" width="4.5703125" style="223" customWidth="1"/>
    <col min="11267" max="11267" width="43.85546875" style="223" customWidth="1"/>
    <col min="11268" max="11268" width="7.85546875" style="223" customWidth="1"/>
    <col min="11269" max="11269" width="4.28515625" style="223" customWidth="1"/>
    <col min="11270" max="11270" width="9.85546875" style="223" customWidth="1"/>
    <col min="11271" max="11271" width="16.28515625" style="223" customWidth="1"/>
    <col min="11272" max="11520" width="9" style="223"/>
    <col min="11521" max="11521" width="3.7109375" style="223" customWidth="1"/>
    <col min="11522" max="11522" width="4.5703125" style="223" customWidth="1"/>
    <col min="11523" max="11523" width="43.85546875" style="223" customWidth="1"/>
    <col min="11524" max="11524" width="7.85546875" style="223" customWidth="1"/>
    <col min="11525" max="11525" width="4.28515625" style="223" customWidth="1"/>
    <col min="11526" max="11526" width="9.85546875" style="223" customWidth="1"/>
    <col min="11527" max="11527" width="16.28515625" style="223" customWidth="1"/>
    <col min="11528" max="11776" width="9" style="223"/>
    <col min="11777" max="11777" width="3.7109375" style="223" customWidth="1"/>
    <col min="11778" max="11778" width="4.5703125" style="223" customWidth="1"/>
    <col min="11779" max="11779" width="43.85546875" style="223" customWidth="1"/>
    <col min="11780" max="11780" width="7.85546875" style="223" customWidth="1"/>
    <col min="11781" max="11781" width="4.28515625" style="223" customWidth="1"/>
    <col min="11782" max="11782" width="9.85546875" style="223" customWidth="1"/>
    <col min="11783" max="11783" width="16.28515625" style="223" customWidth="1"/>
    <col min="11784" max="12032" width="9" style="223"/>
    <col min="12033" max="12033" width="3.7109375" style="223" customWidth="1"/>
    <col min="12034" max="12034" width="4.5703125" style="223" customWidth="1"/>
    <col min="12035" max="12035" width="43.85546875" style="223" customWidth="1"/>
    <col min="12036" max="12036" width="7.85546875" style="223" customWidth="1"/>
    <col min="12037" max="12037" width="4.28515625" style="223" customWidth="1"/>
    <col min="12038" max="12038" width="9.85546875" style="223" customWidth="1"/>
    <col min="12039" max="12039" width="16.28515625" style="223" customWidth="1"/>
    <col min="12040" max="12288" width="9" style="223"/>
    <col min="12289" max="12289" width="3.7109375" style="223" customWidth="1"/>
    <col min="12290" max="12290" width="4.5703125" style="223" customWidth="1"/>
    <col min="12291" max="12291" width="43.85546875" style="223" customWidth="1"/>
    <col min="12292" max="12292" width="7.85546875" style="223" customWidth="1"/>
    <col min="12293" max="12293" width="4.28515625" style="223" customWidth="1"/>
    <col min="12294" max="12294" width="9.85546875" style="223" customWidth="1"/>
    <col min="12295" max="12295" width="16.28515625" style="223" customWidth="1"/>
    <col min="12296" max="12544" width="9" style="223"/>
    <col min="12545" max="12545" width="3.7109375" style="223" customWidth="1"/>
    <col min="12546" max="12546" width="4.5703125" style="223" customWidth="1"/>
    <col min="12547" max="12547" width="43.85546875" style="223" customWidth="1"/>
    <col min="12548" max="12548" width="7.85546875" style="223" customWidth="1"/>
    <col min="12549" max="12549" width="4.28515625" style="223" customWidth="1"/>
    <col min="12550" max="12550" width="9.85546875" style="223" customWidth="1"/>
    <col min="12551" max="12551" width="16.28515625" style="223" customWidth="1"/>
    <col min="12552" max="12800" width="9" style="223"/>
    <col min="12801" max="12801" width="3.7109375" style="223" customWidth="1"/>
    <col min="12802" max="12802" width="4.5703125" style="223" customWidth="1"/>
    <col min="12803" max="12803" width="43.85546875" style="223" customWidth="1"/>
    <col min="12804" max="12804" width="7.85546875" style="223" customWidth="1"/>
    <col min="12805" max="12805" width="4.28515625" style="223" customWidth="1"/>
    <col min="12806" max="12806" width="9.85546875" style="223" customWidth="1"/>
    <col min="12807" max="12807" width="16.28515625" style="223" customWidth="1"/>
    <col min="12808" max="13056" width="9" style="223"/>
    <col min="13057" max="13057" width="3.7109375" style="223" customWidth="1"/>
    <col min="13058" max="13058" width="4.5703125" style="223" customWidth="1"/>
    <col min="13059" max="13059" width="43.85546875" style="223" customWidth="1"/>
    <col min="13060" max="13060" width="7.85546875" style="223" customWidth="1"/>
    <col min="13061" max="13061" width="4.28515625" style="223" customWidth="1"/>
    <col min="13062" max="13062" width="9.85546875" style="223" customWidth="1"/>
    <col min="13063" max="13063" width="16.28515625" style="223" customWidth="1"/>
    <col min="13064" max="13312" width="9" style="223"/>
    <col min="13313" max="13313" width="3.7109375" style="223" customWidth="1"/>
    <col min="13314" max="13314" width="4.5703125" style="223" customWidth="1"/>
    <col min="13315" max="13315" width="43.85546875" style="223" customWidth="1"/>
    <col min="13316" max="13316" width="7.85546875" style="223" customWidth="1"/>
    <col min="13317" max="13317" width="4.28515625" style="223" customWidth="1"/>
    <col min="13318" max="13318" width="9.85546875" style="223" customWidth="1"/>
    <col min="13319" max="13319" width="16.28515625" style="223" customWidth="1"/>
    <col min="13320" max="13568" width="9" style="223"/>
    <col min="13569" max="13569" width="3.7109375" style="223" customWidth="1"/>
    <col min="13570" max="13570" width="4.5703125" style="223" customWidth="1"/>
    <col min="13571" max="13571" width="43.85546875" style="223" customWidth="1"/>
    <col min="13572" max="13572" width="7.85546875" style="223" customWidth="1"/>
    <col min="13573" max="13573" width="4.28515625" style="223" customWidth="1"/>
    <col min="13574" max="13574" width="9.85546875" style="223" customWidth="1"/>
    <col min="13575" max="13575" width="16.28515625" style="223" customWidth="1"/>
    <col min="13576" max="13824" width="9" style="223"/>
    <col min="13825" max="13825" width="3.7109375" style="223" customWidth="1"/>
    <col min="13826" max="13826" width="4.5703125" style="223" customWidth="1"/>
    <col min="13827" max="13827" width="43.85546875" style="223" customWidth="1"/>
    <col min="13828" max="13828" width="7.85546875" style="223" customWidth="1"/>
    <col min="13829" max="13829" width="4.28515625" style="223" customWidth="1"/>
    <col min="13830" max="13830" width="9.85546875" style="223" customWidth="1"/>
    <col min="13831" max="13831" width="16.28515625" style="223" customWidth="1"/>
    <col min="13832" max="14080" width="9" style="223"/>
    <col min="14081" max="14081" width="3.7109375" style="223" customWidth="1"/>
    <col min="14082" max="14082" width="4.5703125" style="223" customWidth="1"/>
    <col min="14083" max="14083" width="43.85546875" style="223" customWidth="1"/>
    <col min="14084" max="14084" width="7.85546875" style="223" customWidth="1"/>
    <col min="14085" max="14085" width="4.28515625" style="223" customWidth="1"/>
    <col min="14086" max="14086" width="9.85546875" style="223" customWidth="1"/>
    <col min="14087" max="14087" width="16.28515625" style="223" customWidth="1"/>
    <col min="14088" max="14336" width="9" style="223"/>
    <col min="14337" max="14337" width="3.7109375" style="223" customWidth="1"/>
    <col min="14338" max="14338" width="4.5703125" style="223" customWidth="1"/>
    <col min="14339" max="14339" width="43.85546875" style="223" customWidth="1"/>
    <col min="14340" max="14340" width="7.85546875" style="223" customWidth="1"/>
    <col min="14341" max="14341" width="4.28515625" style="223" customWidth="1"/>
    <col min="14342" max="14342" width="9.85546875" style="223" customWidth="1"/>
    <col min="14343" max="14343" width="16.28515625" style="223" customWidth="1"/>
    <col min="14344" max="14592" width="9" style="223"/>
    <col min="14593" max="14593" width="3.7109375" style="223" customWidth="1"/>
    <col min="14594" max="14594" width="4.5703125" style="223" customWidth="1"/>
    <col min="14595" max="14595" width="43.85546875" style="223" customWidth="1"/>
    <col min="14596" max="14596" width="7.85546875" style="223" customWidth="1"/>
    <col min="14597" max="14597" width="4.28515625" style="223" customWidth="1"/>
    <col min="14598" max="14598" width="9.85546875" style="223" customWidth="1"/>
    <col min="14599" max="14599" width="16.28515625" style="223" customWidth="1"/>
    <col min="14600" max="14848" width="9" style="223"/>
    <col min="14849" max="14849" width="3.7109375" style="223" customWidth="1"/>
    <col min="14850" max="14850" width="4.5703125" style="223" customWidth="1"/>
    <col min="14851" max="14851" width="43.85546875" style="223" customWidth="1"/>
    <col min="14852" max="14852" width="7.85546875" style="223" customWidth="1"/>
    <col min="14853" max="14853" width="4.28515625" style="223" customWidth="1"/>
    <col min="14854" max="14854" width="9.85546875" style="223" customWidth="1"/>
    <col min="14855" max="14855" width="16.28515625" style="223" customWidth="1"/>
    <col min="14856" max="15104" width="9" style="223"/>
    <col min="15105" max="15105" width="3.7109375" style="223" customWidth="1"/>
    <col min="15106" max="15106" width="4.5703125" style="223" customWidth="1"/>
    <col min="15107" max="15107" width="43.85546875" style="223" customWidth="1"/>
    <col min="15108" max="15108" width="7.85546875" style="223" customWidth="1"/>
    <col min="15109" max="15109" width="4.28515625" style="223" customWidth="1"/>
    <col min="15110" max="15110" width="9.85546875" style="223" customWidth="1"/>
    <col min="15111" max="15111" width="16.28515625" style="223" customWidth="1"/>
    <col min="15112" max="15360" width="9" style="223"/>
    <col min="15361" max="15361" width="3.7109375" style="223" customWidth="1"/>
    <col min="15362" max="15362" width="4.5703125" style="223" customWidth="1"/>
    <col min="15363" max="15363" width="43.85546875" style="223" customWidth="1"/>
    <col min="15364" max="15364" width="7.85546875" style="223" customWidth="1"/>
    <col min="15365" max="15365" width="4.28515625" style="223" customWidth="1"/>
    <col min="15366" max="15366" width="9.85546875" style="223" customWidth="1"/>
    <col min="15367" max="15367" width="16.28515625" style="223" customWidth="1"/>
    <col min="15368" max="15616" width="9" style="223"/>
    <col min="15617" max="15617" width="3.7109375" style="223" customWidth="1"/>
    <col min="15618" max="15618" width="4.5703125" style="223" customWidth="1"/>
    <col min="15619" max="15619" width="43.85546875" style="223" customWidth="1"/>
    <col min="15620" max="15620" width="7.85546875" style="223" customWidth="1"/>
    <col min="15621" max="15621" width="4.28515625" style="223" customWidth="1"/>
    <col min="15622" max="15622" width="9.85546875" style="223" customWidth="1"/>
    <col min="15623" max="15623" width="16.28515625" style="223" customWidth="1"/>
    <col min="15624" max="15872" width="9" style="223"/>
    <col min="15873" max="15873" width="3.7109375" style="223" customWidth="1"/>
    <col min="15874" max="15874" width="4.5703125" style="223" customWidth="1"/>
    <col min="15875" max="15875" width="43.85546875" style="223" customWidth="1"/>
    <col min="15876" max="15876" width="7.85546875" style="223" customWidth="1"/>
    <col min="15877" max="15877" width="4.28515625" style="223" customWidth="1"/>
    <col min="15878" max="15878" width="9.85546875" style="223" customWidth="1"/>
    <col min="15879" max="15879" width="16.28515625" style="223" customWidth="1"/>
    <col min="15880" max="16128" width="9" style="223"/>
    <col min="16129" max="16129" width="3.7109375" style="223" customWidth="1"/>
    <col min="16130" max="16130" width="4.5703125" style="223" customWidth="1"/>
    <col min="16131" max="16131" width="43.85546875" style="223" customWidth="1"/>
    <col min="16132" max="16132" width="7.85546875" style="223" customWidth="1"/>
    <col min="16133" max="16133" width="4.28515625" style="223" customWidth="1"/>
    <col min="16134" max="16134" width="9.85546875" style="223" customWidth="1"/>
    <col min="16135" max="16135" width="16.28515625" style="223" customWidth="1"/>
    <col min="16136" max="16384" width="9" style="223"/>
  </cols>
  <sheetData>
    <row r="1" spans="1:7" ht="12.75">
      <c r="A1" s="220"/>
      <c r="B1" s="220"/>
      <c r="C1" s="221"/>
      <c r="D1" s="222"/>
      <c r="E1" s="222"/>
      <c r="F1" s="222"/>
      <c r="G1" s="222"/>
    </row>
    <row r="2" spans="1:7" ht="18.75">
      <c r="A2" s="372" t="s">
        <v>1559</v>
      </c>
      <c r="B2" s="372"/>
      <c r="C2" s="372"/>
      <c r="D2" s="372"/>
      <c r="E2" s="372"/>
      <c r="F2" s="372"/>
      <c r="G2" s="372"/>
    </row>
    <row r="3" spans="1:7" ht="18.75">
      <c r="A3" s="224"/>
      <c r="B3" s="225"/>
      <c r="C3" s="226"/>
      <c r="D3" s="225"/>
      <c r="E3" s="225"/>
      <c r="F3" s="225"/>
      <c r="G3" s="225"/>
    </row>
    <row r="4" spans="1:7" ht="15.75">
      <c r="A4" s="373" t="s">
        <v>1755</v>
      </c>
      <c r="B4" s="373"/>
      <c r="C4" s="373"/>
      <c r="D4" s="373"/>
      <c r="E4" s="373"/>
      <c r="F4" s="373"/>
      <c r="G4" s="373"/>
    </row>
    <row r="5" spans="1:7" ht="15.75">
      <c r="A5" s="227"/>
      <c r="B5" s="228"/>
      <c r="C5" s="229"/>
      <c r="D5" s="228"/>
      <c r="E5" s="228"/>
      <c r="F5" s="228"/>
      <c r="G5" s="228"/>
    </row>
    <row r="7" spans="1:7" ht="31.5">
      <c r="C7" s="230" t="s">
        <v>1560</v>
      </c>
    </row>
    <row r="8" spans="1:7">
      <c r="A8" s="222" t="s">
        <v>1561</v>
      </c>
      <c r="B8" s="222"/>
      <c r="C8" s="231" t="s">
        <v>1359</v>
      </c>
      <c r="D8" s="222"/>
      <c r="E8" s="232" t="s">
        <v>1361</v>
      </c>
      <c r="F8" s="232" t="s">
        <v>1562</v>
      </c>
      <c r="G8" s="232" t="s">
        <v>739</v>
      </c>
    </row>
    <row r="9" spans="1:7">
      <c r="A9" s="223">
        <v>1</v>
      </c>
      <c r="C9" s="233" t="s">
        <v>1563</v>
      </c>
      <c r="D9" s="223">
        <v>2</v>
      </c>
      <c r="E9" s="223" t="s">
        <v>1376</v>
      </c>
      <c r="G9" s="234">
        <f>F9*D9</f>
        <v>0</v>
      </c>
    </row>
    <row r="10" spans="1:7">
      <c r="A10" s="223">
        <v>2</v>
      </c>
      <c r="C10" s="233" t="s">
        <v>1564</v>
      </c>
      <c r="D10" s="223">
        <v>2</v>
      </c>
      <c r="E10" s="223" t="s">
        <v>1376</v>
      </c>
      <c r="G10" s="234">
        <f t="shared" ref="G10:G28" si="0">F10*D10</f>
        <v>0</v>
      </c>
    </row>
    <row r="11" spans="1:7">
      <c r="A11" s="223">
        <v>3</v>
      </c>
      <c r="C11" s="233" t="s">
        <v>1565</v>
      </c>
      <c r="D11" s="223">
        <v>20</v>
      </c>
      <c r="E11" s="223" t="s">
        <v>62</v>
      </c>
      <c r="G11" s="234">
        <f t="shared" si="0"/>
        <v>0</v>
      </c>
    </row>
    <row r="12" spans="1:7">
      <c r="A12" s="223">
        <v>4</v>
      </c>
      <c r="C12" s="233" t="s">
        <v>1566</v>
      </c>
      <c r="D12" s="223">
        <v>2</v>
      </c>
      <c r="E12" s="223" t="s">
        <v>1376</v>
      </c>
      <c r="G12" s="234">
        <f t="shared" si="0"/>
        <v>0</v>
      </c>
    </row>
    <row r="13" spans="1:7">
      <c r="A13" s="223">
        <v>5</v>
      </c>
      <c r="C13" s="233" t="s">
        <v>1567</v>
      </c>
      <c r="D13" s="223">
        <v>20</v>
      </c>
      <c r="E13" s="223" t="s">
        <v>62</v>
      </c>
      <c r="G13" s="234">
        <f t="shared" si="0"/>
        <v>0</v>
      </c>
    </row>
    <row r="14" spans="1:7">
      <c r="A14" s="223">
        <v>6</v>
      </c>
      <c r="C14" s="233" t="s">
        <v>1568</v>
      </c>
      <c r="D14" s="223">
        <v>40</v>
      </c>
      <c r="E14" s="223" t="s">
        <v>1376</v>
      </c>
      <c r="G14" s="234">
        <f t="shared" si="0"/>
        <v>0</v>
      </c>
    </row>
    <row r="15" spans="1:7">
      <c r="A15" s="223">
        <v>7</v>
      </c>
      <c r="C15" s="233" t="s">
        <v>1569</v>
      </c>
      <c r="D15" s="223">
        <v>8</v>
      </c>
      <c r="E15" s="223" t="s">
        <v>1376</v>
      </c>
      <c r="G15" s="234">
        <f t="shared" si="0"/>
        <v>0</v>
      </c>
    </row>
    <row r="16" spans="1:7">
      <c r="A16" s="223">
        <v>8</v>
      </c>
      <c r="C16" s="233" t="s">
        <v>1570</v>
      </c>
      <c r="D16" s="223">
        <v>8</v>
      </c>
      <c r="E16" s="223" t="s">
        <v>1376</v>
      </c>
      <c r="G16" s="234">
        <f t="shared" si="0"/>
        <v>0</v>
      </c>
    </row>
    <row r="17" spans="1:7">
      <c r="A17" s="223">
        <v>9</v>
      </c>
      <c r="C17" s="233" t="s">
        <v>1571</v>
      </c>
      <c r="D17" s="223">
        <v>5</v>
      </c>
      <c r="E17" s="223" t="s">
        <v>1376</v>
      </c>
      <c r="G17" s="234">
        <f t="shared" si="0"/>
        <v>0</v>
      </c>
    </row>
    <row r="18" spans="1:7">
      <c r="A18" s="223">
        <v>10</v>
      </c>
      <c r="C18" s="233" t="s">
        <v>1572</v>
      </c>
      <c r="D18" s="223">
        <v>45</v>
      </c>
      <c r="E18" s="223" t="s">
        <v>1376</v>
      </c>
      <c r="G18" s="234">
        <f t="shared" si="0"/>
        <v>0</v>
      </c>
    </row>
    <row r="19" spans="1:7">
      <c r="A19" s="223">
        <v>11</v>
      </c>
      <c r="C19" s="233" t="s">
        <v>1573</v>
      </c>
      <c r="D19" s="223">
        <v>45</v>
      </c>
      <c r="E19" s="223" t="s">
        <v>1376</v>
      </c>
      <c r="G19" s="234">
        <f t="shared" si="0"/>
        <v>0</v>
      </c>
    </row>
    <row r="20" spans="1:7" ht="24">
      <c r="A20" s="223">
        <v>12</v>
      </c>
      <c r="C20" s="233" t="s">
        <v>1574</v>
      </c>
      <c r="D20" s="223">
        <v>20</v>
      </c>
      <c r="E20" s="223" t="s">
        <v>62</v>
      </c>
      <c r="G20" s="234">
        <f t="shared" si="0"/>
        <v>0</v>
      </c>
    </row>
    <row r="21" spans="1:7" ht="24">
      <c r="A21" s="223">
        <v>13</v>
      </c>
      <c r="C21" s="233" t="s">
        <v>1575</v>
      </c>
      <c r="D21" s="223">
        <v>340</v>
      </c>
      <c r="E21" s="223" t="s">
        <v>62</v>
      </c>
      <c r="G21" s="234">
        <f t="shared" si="0"/>
        <v>0</v>
      </c>
    </row>
    <row r="22" spans="1:7" ht="24">
      <c r="A22" s="223">
        <v>14</v>
      </c>
      <c r="C22" s="233" t="s">
        <v>1576</v>
      </c>
      <c r="D22" s="223">
        <v>35</v>
      </c>
      <c r="E22" s="223" t="s">
        <v>62</v>
      </c>
      <c r="G22" s="234">
        <f t="shared" si="0"/>
        <v>0</v>
      </c>
    </row>
    <row r="23" spans="1:7">
      <c r="A23" s="223">
        <v>15</v>
      </c>
      <c r="C23" s="233" t="s">
        <v>1577</v>
      </c>
      <c r="D23" s="223">
        <v>395</v>
      </c>
      <c r="E23" s="223" t="s">
        <v>62</v>
      </c>
      <c r="G23" s="234">
        <f t="shared" si="0"/>
        <v>0</v>
      </c>
    </row>
    <row r="24" spans="1:7">
      <c r="A24" s="223">
        <v>16</v>
      </c>
      <c r="C24" s="233" t="s">
        <v>1578</v>
      </c>
      <c r="D24" s="223">
        <v>395</v>
      </c>
      <c r="E24" s="223" t="s">
        <v>62</v>
      </c>
      <c r="G24" s="234">
        <f t="shared" si="0"/>
        <v>0</v>
      </c>
    </row>
    <row r="25" spans="1:7">
      <c r="A25" s="223">
        <v>17</v>
      </c>
      <c r="C25" s="233" t="s">
        <v>1579</v>
      </c>
      <c r="D25" s="223">
        <v>395</v>
      </c>
      <c r="E25" s="223" t="s">
        <v>62</v>
      </c>
      <c r="G25" s="234">
        <f t="shared" si="0"/>
        <v>0</v>
      </c>
    </row>
    <row r="26" spans="1:7">
      <c r="A26" s="223">
        <v>18</v>
      </c>
      <c r="C26" s="233" t="s">
        <v>1580</v>
      </c>
      <c r="D26" s="223">
        <v>1</v>
      </c>
      <c r="E26" s="223" t="s">
        <v>1376</v>
      </c>
      <c r="G26" s="234">
        <f t="shared" si="0"/>
        <v>0</v>
      </c>
    </row>
    <row r="27" spans="1:7">
      <c r="A27" s="223">
        <v>19</v>
      </c>
      <c r="C27" s="233" t="s">
        <v>1581</v>
      </c>
      <c r="D27" s="223">
        <v>1</v>
      </c>
      <c r="E27" s="223" t="s">
        <v>1376</v>
      </c>
      <c r="G27" s="234">
        <f t="shared" si="0"/>
        <v>0</v>
      </c>
    </row>
    <row r="28" spans="1:7">
      <c r="A28" s="223">
        <v>20</v>
      </c>
      <c r="C28" s="233" t="s">
        <v>1582</v>
      </c>
      <c r="D28" s="223">
        <v>250</v>
      </c>
      <c r="E28" s="223" t="s">
        <v>1376</v>
      </c>
      <c r="G28" s="234">
        <f t="shared" si="0"/>
        <v>0</v>
      </c>
    </row>
    <row r="29" spans="1:7" ht="15">
      <c r="A29" s="235"/>
      <c r="B29" s="235"/>
      <c r="C29" s="236" t="s">
        <v>739</v>
      </c>
      <c r="D29" s="237"/>
      <c r="E29" s="237"/>
      <c r="F29" s="237"/>
      <c r="G29" s="238">
        <f>SUM(G9:G28)</f>
        <v>0</v>
      </c>
    </row>
    <row r="30" spans="1:7" ht="12.75">
      <c r="B30" s="239"/>
      <c r="C30" s="240"/>
      <c r="D30" s="241"/>
      <c r="E30" s="241"/>
      <c r="F30" s="241"/>
      <c r="G30" s="242"/>
    </row>
    <row r="31" spans="1:7" s="241" customFormat="1" ht="12.75">
      <c r="B31" s="243"/>
      <c r="C31" s="240"/>
      <c r="G31" s="242"/>
    </row>
    <row r="32" spans="1:7" s="241" customFormat="1" ht="15.75">
      <c r="C32" s="230" t="s">
        <v>1583</v>
      </c>
    </row>
    <row r="33" spans="1:7" s="241" customFormat="1" ht="12.75">
      <c r="A33" s="222" t="s">
        <v>1561</v>
      </c>
      <c r="B33" s="222"/>
      <c r="C33" s="231" t="s">
        <v>1359</v>
      </c>
      <c r="D33" s="222"/>
      <c r="E33" s="232" t="s">
        <v>1361</v>
      </c>
      <c r="F33" s="232" t="s">
        <v>1562</v>
      </c>
      <c r="G33" s="232" t="s">
        <v>739</v>
      </c>
    </row>
    <row r="34" spans="1:7" s="241" customFormat="1" ht="12.75">
      <c r="A34" s="223">
        <v>1</v>
      </c>
      <c r="B34" s="223"/>
      <c r="C34" s="233" t="s">
        <v>1584</v>
      </c>
      <c r="D34" s="223">
        <v>1</v>
      </c>
      <c r="E34" s="223" t="s">
        <v>1376</v>
      </c>
      <c r="G34" s="244">
        <f t="shared" ref="G34:G45" si="1">D34*F34</f>
        <v>0</v>
      </c>
    </row>
    <row r="35" spans="1:7" s="241" customFormat="1" ht="24">
      <c r="A35" s="223">
        <v>2</v>
      </c>
      <c r="B35" s="223"/>
      <c r="C35" s="233" t="s">
        <v>1585</v>
      </c>
      <c r="D35" s="223">
        <v>676</v>
      </c>
      <c r="E35" s="223" t="s">
        <v>62</v>
      </c>
      <c r="G35" s="244">
        <f t="shared" si="1"/>
        <v>0</v>
      </c>
    </row>
    <row r="36" spans="1:7" s="241" customFormat="1" ht="12.75">
      <c r="A36" s="223">
        <v>3</v>
      </c>
      <c r="B36" s="223"/>
      <c r="C36" s="233" t="s">
        <v>1586</v>
      </c>
      <c r="D36" s="233">
        <v>1</v>
      </c>
      <c r="E36" s="245" t="s">
        <v>1376</v>
      </c>
      <c r="F36" s="233"/>
      <c r="G36" s="244">
        <f t="shared" si="1"/>
        <v>0</v>
      </c>
    </row>
    <row r="37" spans="1:7" s="241" customFormat="1" ht="12.75">
      <c r="A37" s="223">
        <v>4</v>
      </c>
      <c r="B37" s="223"/>
      <c r="C37" s="233" t="s">
        <v>1587</v>
      </c>
      <c r="D37" s="233">
        <v>1</v>
      </c>
      <c r="E37" s="245" t="s">
        <v>1376</v>
      </c>
      <c r="F37" s="233"/>
      <c r="G37" s="244">
        <f t="shared" si="1"/>
        <v>0</v>
      </c>
    </row>
    <row r="38" spans="1:7" s="241" customFormat="1" ht="12.75">
      <c r="A38" s="223">
        <v>5</v>
      </c>
      <c r="B38" s="223"/>
      <c r="C38" s="233" t="s">
        <v>1588</v>
      </c>
      <c r="D38" s="223">
        <v>52</v>
      </c>
      <c r="E38" s="223" t="s">
        <v>1376</v>
      </c>
      <c r="G38" s="244">
        <f t="shared" si="1"/>
        <v>0</v>
      </c>
    </row>
    <row r="39" spans="1:7" s="241" customFormat="1" ht="12.75">
      <c r="A39" s="223">
        <v>6</v>
      </c>
      <c r="B39" s="223"/>
      <c r="C39" s="233" t="s">
        <v>1589</v>
      </c>
      <c r="D39" s="223">
        <v>26</v>
      </c>
      <c r="E39" s="223" t="s">
        <v>1376</v>
      </c>
      <c r="G39" s="244">
        <f t="shared" si="1"/>
        <v>0</v>
      </c>
    </row>
    <row r="40" spans="1:7" s="241" customFormat="1" ht="12.75">
      <c r="A40" s="223">
        <v>7</v>
      </c>
      <c r="B40" s="223"/>
      <c r="C40" s="233" t="s">
        <v>1590</v>
      </c>
      <c r="D40" s="223">
        <v>13</v>
      </c>
      <c r="E40" s="223" t="s">
        <v>1376</v>
      </c>
      <c r="G40" s="244">
        <f t="shared" si="1"/>
        <v>0</v>
      </c>
    </row>
    <row r="41" spans="1:7" s="241" customFormat="1" ht="12.75">
      <c r="A41" s="223">
        <v>8</v>
      </c>
      <c r="B41" s="223"/>
      <c r="C41" s="233" t="s">
        <v>1591</v>
      </c>
      <c r="D41" s="223">
        <v>24</v>
      </c>
      <c r="E41" s="223" t="s">
        <v>1376</v>
      </c>
      <c r="G41" s="244">
        <f t="shared" si="1"/>
        <v>0</v>
      </c>
    </row>
    <row r="42" spans="1:7" s="241" customFormat="1" ht="24">
      <c r="A42" s="223">
        <v>9</v>
      </c>
      <c r="B42" s="223"/>
      <c r="C42" s="233" t="s">
        <v>1592</v>
      </c>
      <c r="D42" s="223">
        <v>26</v>
      </c>
      <c r="E42" s="223" t="s">
        <v>1376</v>
      </c>
      <c r="G42" s="244">
        <f t="shared" si="1"/>
        <v>0</v>
      </c>
    </row>
    <row r="43" spans="1:7" s="241" customFormat="1" ht="12.75">
      <c r="A43" s="223">
        <v>10</v>
      </c>
      <c r="B43" s="223"/>
      <c r="C43" s="233" t="s">
        <v>1593</v>
      </c>
      <c r="D43" s="223">
        <v>6</v>
      </c>
      <c r="E43" s="223" t="s">
        <v>813</v>
      </c>
      <c r="G43" s="244">
        <f t="shared" si="1"/>
        <v>0</v>
      </c>
    </row>
    <row r="44" spans="1:7" s="241" customFormat="1" ht="12.75">
      <c r="A44" s="223">
        <v>11</v>
      </c>
      <c r="B44" s="223"/>
      <c r="C44" s="233" t="s">
        <v>1594</v>
      </c>
      <c r="D44" s="223">
        <v>1</v>
      </c>
      <c r="E44" s="223" t="s">
        <v>1376</v>
      </c>
      <c r="G44" s="244">
        <f t="shared" si="1"/>
        <v>0</v>
      </c>
    </row>
    <row r="45" spans="1:7" s="241" customFormat="1" ht="12.75">
      <c r="A45" s="223">
        <v>12</v>
      </c>
      <c r="B45" s="223"/>
      <c r="C45" s="233" t="s">
        <v>1595</v>
      </c>
      <c r="D45" s="223">
        <v>12</v>
      </c>
      <c r="E45" s="223" t="s">
        <v>813</v>
      </c>
      <c r="G45" s="244">
        <f t="shared" si="1"/>
        <v>0</v>
      </c>
    </row>
    <row r="46" spans="1:7" s="241" customFormat="1" ht="15">
      <c r="A46" s="246"/>
      <c r="B46" s="246"/>
      <c r="C46" s="236" t="s">
        <v>739</v>
      </c>
      <c r="D46" s="237"/>
      <c r="E46" s="237"/>
      <c r="F46" s="237"/>
      <c r="G46" s="238">
        <f>SUM(G34:G45)</f>
        <v>0</v>
      </c>
    </row>
    <row r="47" spans="1:7" s="241" customFormat="1" ht="12.75">
      <c r="B47" s="243"/>
      <c r="C47" s="240"/>
      <c r="G47" s="242"/>
    </row>
    <row r="48" spans="1:7" s="241" customFormat="1" ht="12.75">
      <c r="C48" s="247"/>
    </row>
    <row r="49" spans="1:11" s="241" customFormat="1" ht="31.5">
      <c r="C49" s="230" t="s">
        <v>1596</v>
      </c>
    </row>
    <row r="50" spans="1:11" s="241" customFormat="1" ht="12.75">
      <c r="A50" s="222" t="s">
        <v>1561</v>
      </c>
      <c r="B50" s="222"/>
      <c r="C50" s="231" t="s">
        <v>1359</v>
      </c>
      <c r="D50" s="222"/>
      <c r="E50" s="232" t="s">
        <v>1361</v>
      </c>
      <c r="F50" s="232" t="s">
        <v>1562</v>
      </c>
      <c r="G50" s="232" t="s">
        <v>739</v>
      </c>
    </row>
    <row r="51" spans="1:11" s="241" customFormat="1" ht="24">
      <c r="A51" s="223">
        <v>1</v>
      </c>
      <c r="B51" s="223"/>
      <c r="C51" s="233" t="s">
        <v>1597</v>
      </c>
      <c r="D51" s="223">
        <v>1</v>
      </c>
      <c r="E51" s="223" t="s">
        <v>1376</v>
      </c>
      <c r="F51" s="223"/>
      <c r="G51" s="248">
        <f t="shared" ref="G51:G63" si="2">F51*D51</f>
        <v>0</v>
      </c>
    </row>
    <row r="52" spans="1:11" s="241" customFormat="1" ht="24">
      <c r="A52" s="223">
        <v>2</v>
      </c>
      <c r="B52" s="223"/>
      <c r="C52" s="233" t="s">
        <v>1598</v>
      </c>
      <c r="D52" s="223">
        <v>1</v>
      </c>
      <c r="E52" s="223" t="s">
        <v>1376</v>
      </c>
      <c r="F52" s="223"/>
      <c r="G52" s="248">
        <f t="shared" si="2"/>
        <v>0</v>
      </c>
      <c r="J52" s="249"/>
      <c r="K52" s="250"/>
    </row>
    <row r="53" spans="1:11" s="241" customFormat="1" ht="12.75">
      <c r="A53" s="223">
        <v>3</v>
      </c>
      <c r="B53" s="223"/>
      <c r="C53" s="233" t="s">
        <v>1599</v>
      </c>
      <c r="D53" s="223">
        <v>30</v>
      </c>
      <c r="E53" s="223" t="s">
        <v>1376</v>
      </c>
      <c r="F53" s="223"/>
      <c r="G53" s="248">
        <f t="shared" si="2"/>
        <v>0</v>
      </c>
      <c r="J53" s="223"/>
      <c r="K53" s="251"/>
    </row>
    <row r="54" spans="1:11" s="241" customFormat="1" ht="24">
      <c r="A54" s="223">
        <v>4</v>
      </c>
      <c r="B54" s="223"/>
      <c r="C54" s="233" t="s">
        <v>1600</v>
      </c>
      <c r="D54" s="223">
        <v>1</v>
      </c>
      <c r="E54" s="223" t="s">
        <v>1376</v>
      </c>
      <c r="F54" s="223"/>
      <c r="G54" s="248">
        <f t="shared" si="2"/>
        <v>0</v>
      </c>
      <c r="J54" s="252"/>
    </row>
    <row r="55" spans="1:11" s="241" customFormat="1" ht="12.75">
      <c r="A55" s="223">
        <v>5</v>
      </c>
      <c r="B55" s="223"/>
      <c r="C55" s="233" t="s">
        <v>1601</v>
      </c>
      <c r="D55" s="223">
        <v>1</v>
      </c>
      <c r="E55" s="223" t="s">
        <v>1376</v>
      </c>
      <c r="F55" s="223"/>
      <c r="G55" s="248">
        <f t="shared" si="2"/>
        <v>0</v>
      </c>
    </row>
    <row r="56" spans="1:11" s="241" customFormat="1" ht="24">
      <c r="A56" s="223">
        <v>6</v>
      </c>
      <c r="B56" s="223"/>
      <c r="C56" s="233" t="s">
        <v>1602</v>
      </c>
      <c r="D56" s="223">
        <v>24</v>
      </c>
      <c r="E56" s="223" t="s">
        <v>1376</v>
      </c>
      <c r="G56" s="248">
        <f t="shared" si="2"/>
        <v>0</v>
      </c>
    </row>
    <row r="57" spans="1:11" s="241" customFormat="1" ht="12.75">
      <c r="A57" s="223">
        <v>7</v>
      </c>
      <c r="B57" s="223"/>
      <c r="C57" s="233" t="s">
        <v>1603</v>
      </c>
      <c r="D57" s="223">
        <v>676</v>
      </c>
      <c r="E57" s="223" t="s">
        <v>1376</v>
      </c>
      <c r="G57" s="248">
        <f t="shared" si="2"/>
        <v>0</v>
      </c>
    </row>
    <row r="58" spans="1:11" s="241" customFormat="1" ht="12.75">
      <c r="A58" s="223">
        <v>8</v>
      </c>
      <c r="B58" s="223"/>
      <c r="C58" s="233" t="s">
        <v>1604</v>
      </c>
      <c r="D58" s="223">
        <v>2</v>
      </c>
      <c r="E58" s="223" t="s">
        <v>1376</v>
      </c>
      <c r="G58" s="248">
        <f t="shared" si="2"/>
        <v>0</v>
      </c>
    </row>
    <row r="59" spans="1:11" s="241" customFormat="1" ht="12.75">
      <c r="A59" s="223">
        <v>9</v>
      </c>
      <c r="B59" s="223"/>
      <c r="C59" s="233" t="s">
        <v>1605</v>
      </c>
      <c r="D59" s="223">
        <v>1</v>
      </c>
      <c r="E59" s="223" t="s">
        <v>1376</v>
      </c>
      <c r="G59" s="248">
        <f t="shared" si="2"/>
        <v>0</v>
      </c>
    </row>
    <row r="60" spans="1:11" s="241" customFormat="1" ht="12.75">
      <c r="A60" s="223">
        <v>10</v>
      </c>
      <c r="B60" s="223"/>
      <c r="C60" s="233" t="s">
        <v>1606</v>
      </c>
      <c r="D60" s="223">
        <v>13</v>
      </c>
      <c r="E60" s="223" t="s">
        <v>1376</v>
      </c>
      <c r="G60" s="248">
        <f t="shared" si="2"/>
        <v>0</v>
      </c>
    </row>
    <row r="61" spans="1:11" s="241" customFormat="1" ht="12.75">
      <c r="A61" s="223">
        <v>11</v>
      </c>
      <c r="B61" s="223"/>
      <c r="C61" s="233" t="s">
        <v>1607</v>
      </c>
      <c r="D61" s="223">
        <v>11</v>
      </c>
      <c r="E61" s="223" t="s">
        <v>1376</v>
      </c>
      <c r="G61" s="248">
        <f t="shared" si="2"/>
        <v>0</v>
      </c>
    </row>
    <row r="62" spans="1:11" s="241" customFormat="1" ht="12.75">
      <c r="A62" s="223">
        <v>12</v>
      </c>
      <c r="B62" s="223"/>
      <c r="C62" s="233" t="s">
        <v>1608</v>
      </c>
      <c r="D62" s="223">
        <v>2</v>
      </c>
      <c r="E62" s="223" t="s">
        <v>1376</v>
      </c>
      <c r="G62" s="248">
        <f t="shared" si="2"/>
        <v>0</v>
      </c>
    </row>
    <row r="63" spans="1:11" s="241" customFormat="1" ht="24">
      <c r="A63" s="223">
        <v>13</v>
      </c>
      <c r="B63" s="223"/>
      <c r="C63" s="233" t="s">
        <v>1609</v>
      </c>
      <c r="D63" s="223">
        <v>13</v>
      </c>
      <c r="E63" s="223" t="s">
        <v>1376</v>
      </c>
      <c r="G63" s="248">
        <f t="shared" si="2"/>
        <v>0</v>
      </c>
    </row>
    <row r="64" spans="1:11" s="241" customFormat="1" ht="15">
      <c r="A64" s="246"/>
      <c r="B64" s="246"/>
      <c r="C64" s="236" t="s">
        <v>739</v>
      </c>
      <c r="D64" s="237"/>
      <c r="E64" s="237"/>
      <c r="F64" s="237"/>
      <c r="G64" s="238">
        <f>SUM(G51:G63)</f>
        <v>0</v>
      </c>
    </row>
    <row r="65" spans="1:7" s="241" customFormat="1" ht="12.75">
      <c r="B65" s="243"/>
      <c r="C65" s="240"/>
      <c r="G65" s="242"/>
    </row>
    <row r="66" spans="1:7" s="241" customFormat="1" ht="12.75">
      <c r="C66" s="247"/>
    </row>
    <row r="67" spans="1:7" s="241" customFormat="1" ht="15.75">
      <c r="C67" s="230" t="s">
        <v>1610</v>
      </c>
    </row>
    <row r="68" spans="1:7" s="241" customFormat="1" ht="12.75">
      <c r="A68" s="222" t="s">
        <v>1561</v>
      </c>
      <c r="B68" s="222"/>
      <c r="C68" s="231" t="s">
        <v>1359</v>
      </c>
      <c r="D68" s="222"/>
      <c r="E68" s="232" t="s">
        <v>1361</v>
      </c>
      <c r="F68" s="232" t="s">
        <v>1562</v>
      </c>
      <c r="G68" s="232" t="s">
        <v>739</v>
      </c>
    </row>
    <row r="69" spans="1:7" s="241" customFormat="1" ht="12.75">
      <c r="A69" s="223">
        <v>1</v>
      </c>
      <c r="B69" s="223"/>
      <c r="C69" s="233" t="s">
        <v>1611</v>
      </c>
      <c r="D69" s="223">
        <v>2</v>
      </c>
      <c r="E69" s="223" t="s">
        <v>1376</v>
      </c>
      <c r="G69" s="244">
        <f>D69*F69</f>
        <v>0</v>
      </c>
    </row>
    <row r="70" spans="1:7" s="241" customFormat="1" ht="12.75">
      <c r="A70" s="223">
        <v>2</v>
      </c>
      <c r="B70" s="223"/>
      <c r="C70" s="233" t="s">
        <v>1594</v>
      </c>
      <c r="D70" s="223">
        <v>1</v>
      </c>
      <c r="E70" s="223" t="s">
        <v>1376</v>
      </c>
      <c r="G70" s="244">
        <f>D70*F70</f>
        <v>0</v>
      </c>
    </row>
    <row r="71" spans="1:7" s="241" customFormat="1" ht="15">
      <c r="A71" s="246"/>
      <c r="B71" s="246"/>
      <c r="C71" s="236" t="s">
        <v>739</v>
      </c>
      <c r="D71" s="237"/>
      <c r="E71" s="237"/>
      <c r="F71" s="237"/>
      <c r="G71" s="238">
        <f>SUM(G69:G70)</f>
        <v>0</v>
      </c>
    </row>
    <row r="72" spans="1:7" s="241" customFormat="1" ht="12.75">
      <c r="B72" s="243"/>
      <c r="C72" s="240"/>
      <c r="G72" s="242"/>
    </row>
    <row r="73" spans="1:7" s="241" customFormat="1" ht="12.75">
      <c r="C73" s="247"/>
    </row>
    <row r="74" spans="1:7" s="241" customFormat="1" ht="15.75">
      <c r="C74" s="230" t="s">
        <v>1612</v>
      </c>
    </row>
    <row r="75" spans="1:7" s="241" customFormat="1" ht="12.75">
      <c r="A75" s="222" t="s">
        <v>1561</v>
      </c>
      <c r="B75" s="222"/>
      <c r="C75" s="231" t="s">
        <v>1359</v>
      </c>
      <c r="D75" s="222"/>
      <c r="E75" s="232" t="s">
        <v>1361</v>
      </c>
      <c r="F75" s="232" t="s">
        <v>1562</v>
      </c>
      <c r="G75" s="232" t="s">
        <v>739</v>
      </c>
    </row>
    <row r="76" spans="1:7" s="241" customFormat="1" ht="12.75">
      <c r="A76" s="249">
        <v>1</v>
      </c>
      <c r="B76" s="249"/>
      <c r="C76" s="233" t="s">
        <v>1613</v>
      </c>
      <c r="D76" s="223">
        <v>2</v>
      </c>
      <c r="E76" s="223" t="s">
        <v>1376</v>
      </c>
      <c r="G76" s="244">
        <f>D76*F76</f>
        <v>0</v>
      </c>
    </row>
    <row r="77" spans="1:7" s="241" customFormat="1" ht="15">
      <c r="A77" s="246"/>
      <c r="B77" s="246"/>
      <c r="C77" s="236" t="s">
        <v>739</v>
      </c>
      <c r="D77" s="237"/>
      <c r="E77" s="237"/>
      <c r="F77" s="237"/>
      <c r="G77" s="238">
        <f>SUM(G76:G76)</f>
        <v>0</v>
      </c>
    </row>
    <row r="80" spans="1:7" ht="15.75">
      <c r="C80" s="230" t="s">
        <v>1614</v>
      </c>
    </row>
    <row r="81" spans="1:7">
      <c r="A81" s="222" t="s">
        <v>1561</v>
      </c>
      <c r="B81" s="222"/>
      <c r="C81" s="231" t="s">
        <v>1359</v>
      </c>
      <c r="D81" s="222"/>
      <c r="E81" s="232" t="s">
        <v>1361</v>
      </c>
      <c r="F81" s="232" t="s">
        <v>1562</v>
      </c>
      <c r="G81" s="232" t="s">
        <v>739</v>
      </c>
    </row>
    <row r="82" spans="1:7">
      <c r="A82" s="223">
        <v>1</v>
      </c>
      <c r="C82" s="233" t="s">
        <v>1615</v>
      </c>
      <c r="D82" s="223">
        <v>2</v>
      </c>
      <c r="E82" s="223" t="s">
        <v>1376</v>
      </c>
      <c r="G82" s="234">
        <f t="shared" ref="G82:G94" si="3">F82*D82</f>
        <v>0</v>
      </c>
    </row>
    <row r="83" spans="1:7">
      <c r="A83" s="223">
        <v>2</v>
      </c>
      <c r="C83" s="233" t="s">
        <v>1616</v>
      </c>
      <c r="D83" s="223">
        <v>105</v>
      </c>
      <c r="E83" s="223" t="s">
        <v>62</v>
      </c>
      <c r="G83" s="234">
        <f t="shared" si="3"/>
        <v>0</v>
      </c>
    </row>
    <row r="84" spans="1:7">
      <c r="A84" s="223">
        <v>3</v>
      </c>
      <c r="C84" s="233" t="s">
        <v>1617</v>
      </c>
      <c r="D84" s="223">
        <v>1</v>
      </c>
      <c r="E84" s="223" t="s">
        <v>1376</v>
      </c>
      <c r="G84" s="234">
        <f t="shared" si="3"/>
        <v>0</v>
      </c>
    </row>
    <row r="85" spans="1:7">
      <c r="A85" s="223">
        <v>4</v>
      </c>
      <c r="C85" s="233" t="s">
        <v>1618</v>
      </c>
      <c r="D85" s="223">
        <v>10</v>
      </c>
      <c r="E85" s="223" t="s">
        <v>1376</v>
      </c>
      <c r="G85" s="234">
        <f t="shared" si="3"/>
        <v>0</v>
      </c>
    </row>
    <row r="86" spans="1:7">
      <c r="A86" s="223">
        <v>5</v>
      </c>
      <c r="C86" s="233" t="s">
        <v>1619</v>
      </c>
      <c r="D86" s="223">
        <v>2</v>
      </c>
      <c r="E86" s="223" t="s">
        <v>1376</v>
      </c>
      <c r="G86" s="234">
        <f t="shared" si="3"/>
        <v>0</v>
      </c>
    </row>
    <row r="87" spans="1:7">
      <c r="A87" s="223">
        <v>6</v>
      </c>
      <c r="C87" s="233" t="s">
        <v>1620</v>
      </c>
      <c r="D87" s="223">
        <v>12</v>
      </c>
      <c r="E87" s="223" t="s">
        <v>1376</v>
      </c>
      <c r="G87" s="234">
        <f t="shared" si="3"/>
        <v>0</v>
      </c>
    </row>
    <row r="88" spans="1:7">
      <c r="A88" s="223">
        <v>7</v>
      </c>
      <c r="C88" s="233" t="s">
        <v>1621</v>
      </c>
      <c r="D88" s="223">
        <v>20</v>
      </c>
      <c r="E88" s="223" t="s">
        <v>1376</v>
      </c>
      <c r="G88" s="234">
        <f t="shared" si="3"/>
        <v>0</v>
      </c>
    </row>
    <row r="89" spans="1:7">
      <c r="A89" s="223">
        <v>8</v>
      </c>
      <c r="C89" s="233" t="s">
        <v>1622</v>
      </c>
      <c r="D89" s="223">
        <v>1</v>
      </c>
      <c r="E89" s="223" t="s">
        <v>1376</v>
      </c>
      <c r="G89" s="234">
        <f t="shared" si="3"/>
        <v>0</v>
      </c>
    </row>
    <row r="90" spans="1:7">
      <c r="A90" s="223">
        <v>9</v>
      </c>
      <c r="C90" s="233" t="s">
        <v>1623</v>
      </c>
      <c r="D90" s="223">
        <v>3</v>
      </c>
      <c r="E90" s="223" t="s">
        <v>1376</v>
      </c>
      <c r="G90" s="234">
        <f t="shared" si="3"/>
        <v>0</v>
      </c>
    </row>
    <row r="91" spans="1:7">
      <c r="A91" s="223">
        <v>10</v>
      </c>
      <c r="C91" s="233" t="s">
        <v>1624</v>
      </c>
      <c r="D91" s="223">
        <v>2</v>
      </c>
      <c r="E91" s="223" t="s">
        <v>1376</v>
      </c>
      <c r="G91" s="234">
        <f t="shared" si="3"/>
        <v>0</v>
      </c>
    </row>
    <row r="92" spans="1:7" ht="24">
      <c r="A92" s="223">
        <v>11</v>
      </c>
      <c r="C92" s="233" t="s">
        <v>1625</v>
      </c>
      <c r="D92" s="223">
        <v>2</v>
      </c>
      <c r="E92" s="223" t="s">
        <v>1376</v>
      </c>
      <c r="G92" s="234">
        <f t="shared" si="3"/>
        <v>0</v>
      </c>
    </row>
    <row r="93" spans="1:7">
      <c r="A93" s="223">
        <v>12</v>
      </c>
      <c r="C93" s="233" t="s">
        <v>1626</v>
      </c>
      <c r="D93" s="223">
        <v>1</v>
      </c>
      <c r="E93" s="223" t="s">
        <v>1376</v>
      </c>
      <c r="G93" s="234">
        <f t="shared" si="3"/>
        <v>0</v>
      </c>
    </row>
    <row r="94" spans="1:7">
      <c r="A94" s="223">
        <v>13</v>
      </c>
      <c r="C94" s="233" t="s">
        <v>1627</v>
      </c>
      <c r="D94" s="223">
        <v>3</v>
      </c>
      <c r="E94" s="223" t="s">
        <v>1376</v>
      </c>
      <c r="G94" s="234">
        <f t="shared" si="3"/>
        <v>0</v>
      </c>
    </row>
    <row r="95" spans="1:7" ht="15">
      <c r="A95" s="235"/>
      <c r="B95" s="235"/>
      <c r="C95" s="236" t="s">
        <v>739</v>
      </c>
      <c r="D95" s="237"/>
      <c r="E95" s="237"/>
      <c r="F95" s="237"/>
      <c r="G95" s="238">
        <f>SUM(G82:G94)</f>
        <v>0</v>
      </c>
    </row>
    <row r="96" spans="1:7" ht="12.75">
      <c r="B96" s="239"/>
      <c r="C96" s="240"/>
      <c r="D96" s="241"/>
      <c r="E96" s="241"/>
      <c r="F96" s="241"/>
      <c r="G96" s="242"/>
    </row>
    <row r="98" spans="1:7" ht="15.75">
      <c r="C98" s="230" t="s">
        <v>1628</v>
      </c>
    </row>
    <row r="99" spans="1:7">
      <c r="A99" s="222" t="s">
        <v>1561</v>
      </c>
      <c r="B99" s="222"/>
      <c r="C99" s="231" t="s">
        <v>1359</v>
      </c>
      <c r="D99" s="222"/>
      <c r="E99" s="232" t="s">
        <v>1361</v>
      </c>
      <c r="F99" s="232" t="s">
        <v>1562</v>
      </c>
      <c r="G99" s="232" t="s">
        <v>739</v>
      </c>
    </row>
    <row r="100" spans="1:7">
      <c r="A100" s="223">
        <v>1</v>
      </c>
      <c r="C100" s="233" t="s">
        <v>1629</v>
      </c>
      <c r="D100" s="223">
        <v>105</v>
      </c>
      <c r="E100" s="223" t="s">
        <v>62</v>
      </c>
      <c r="G100" s="234">
        <f t="shared" ref="G100:G108" si="4">F100*D100</f>
        <v>0</v>
      </c>
    </row>
    <row r="101" spans="1:7" ht="24">
      <c r="A101" s="223">
        <v>2</v>
      </c>
      <c r="C101" s="233" t="s">
        <v>1630</v>
      </c>
      <c r="D101" s="223">
        <v>3</v>
      </c>
      <c r="E101" s="223" t="s">
        <v>1376</v>
      </c>
      <c r="G101" s="234">
        <f t="shared" si="4"/>
        <v>0</v>
      </c>
    </row>
    <row r="102" spans="1:7">
      <c r="A102" s="223">
        <v>3</v>
      </c>
      <c r="C102" s="253" t="s">
        <v>1631</v>
      </c>
      <c r="D102" s="253">
        <v>2</v>
      </c>
      <c r="E102" s="223" t="s">
        <v>1376</v>
      </c>
      <c r="F102" s="254"/>
      <c r="G102" s="234">
        <f t="shared" si="4"/>
        <v>0</v>
      </c>
    </row>
    <row r="103" spans="1:7">
      <c r="A103" s="223">
        <v>4</v>
      </c>
      <c r="C103" s="255" t="s">
        <v>1632</v>
      </c>
      <c r="D103" s="253">
        <v>1</v>
      </c>
      <c r="E103" s="223" t="s">
        <v>1376</v>
      </c>
      <c r="F103" s="254"/>
      <c r="G103" s="234">
        <f t="shared" si="4"/>
        <v>0</v>
      </c>
    </row>
    <row r="104" spans="1:7">
      <c r="A104" s="223">
        <v>5</v>
      </c>
      <c r="C104" s="256" t="s">
        <v>1633</v>
      </c>
      <c r="D104" s="253">
        <v>1</v>
      </c>
      <c r="E104" s="223" t="s">
        <v>1376</v>
      </c>
      <c r="F104" s="254"/>
      <c r="G104" s="234">
        <f t="shared" si="4"/>
        <v>0</v>
      </c>
    </row>
    <row r="105" spans="1:7">
      <c r="A105" s="223">
        <v>6</v>
      </c>
      <c r="C105" s="256" t="s">
        <v>1634</v>
      </c>
      <c r="D105" s="253">
        <v>1</v>
      </c>
      <c r="E105" s="223" t="s">
        <v>1376</v>
      </c>
      <c r="F105" s="254"/>
      <c r="G105" s="234">
        <f t="shared" si="4"/>
        <v>0</v>
      </c>
    </row>
    <row r="106" spans="1:7">
      <c r="A106" s="223">
        <v>7</v>
      </c>
      <c r="C106" s="256" t="s">
        <v>1635</v>
      </c>
      <c r="D106" s="253">
        <v>10</v>
      </c>
      <c r="E106" s="223" t="s">
        <v>1376</v>
      </c>
      <c r="F106" s="254"/>
      <c r="G106" s="234">
        <f t="shared" si="4"/>
        <v>0</v>
      </c>
    </row>
    <row r="107" spans="1:7">
      <c r="A107" s="223">
        <v>8</v>
      </c>
      <c r="C107" s="233" t="s">
        <v>1636</v>
      </c>
      <c r="D107" s="223">
        <v>2</v>
      </c>
      <c r="E107" s="223" t="s">
        <v>1637</v>
      </c>
      <c r="G107" s="234">
        <f t="shared" si="4"/>
        <v>0</v>
      </c>
    </row>
    <row r="108" spans="1:7" ht="24">
      <c r="A108" s="223">
        <v>9</v>
      </c>
      <c r="C108" s="233" t="s">
        <v>1609</v>
      </c>
      <c r="D108" s="223">
        <v>2</v>
      </c>
      <c r="E108" s="223" t="s">
        <v>1376</v>
      </c>
      <c r="F108" s="241"/>
      <c r="G108" s="234">
        <f t="shared" si="4"/>
        <v>0</v>
      </c>
    </row>
    <row r="109" spans="1:7" ht="15">
      <c r="A109" s="235"/>
      <c r="B109" s="235"/>
      <c r="C109" s="236" t="s">
        <v>739</v>
      </c>
      <c r="D109" s="237"/>
      <c r="E109" s="237"/>
      <c r="F109" s="237"/>
      <c r="G109" s="238">
        <f>SUM(G100:G108)</f>
        <v>0</v>
      </c>
    </row>
    <row r="110" spans="1:7" ht="12.75">
      <c r="B110" s="239"/>
      <c r="C110" s="240"/>
      <c r="D110" s="241"/>
      <c r="E110" s="241"/>
      <c r="F110" s="241"/>
      <c r="G110" s="242"/>
    </row>
    <row r="112" spans="1:7" s="241" customFormat="1" ht="15.75">
      <c r="C112" s="230" t="s">
        <v>1638</v>
      </c>
    </row>
    <row r="113" spans="1:7" s="241" customFormat="1" ht="12.75">
      <c r="A113" s="222" t="s">
        <v>1561</v>
      </c>
      <c r="B113" s="222"/>
      <c r="C113" s="231" t="s">
        <v>1359</v>
      </c>
      <c r="D113" s="222"/>
      <c r="E113" s="232" t="s">
        <v>1361</v>
      </c>
      <c r="F113" s="232" t="s">
        <v>1562</v>
      </c>
      <c r="G113" s="232" t="s">
        <v>739</v>
      </c>
    </row>
    <row r="114" spans="1:7" s="241" customFormat="1" ht="12.75">
      <c r="A114" s="223">
        <v>1</v>
      </c>
      <c r="B114" s="223"/>
      <c r="C114" s="233" t="s">
        <v>1639</v>
      </c>
      <c r="D114" s="233">
        <v>69</v>
      </c>
      <c r="E114" s="245" t="s">
        <v>62</v>
      </c>
      <c r="F114" s="233"/>
      <c r="G114" s="234">
        <f t="shared" ref="G114:G123" si="5">F114*D114</f>
        <v>0</v>
      </c>
    </row>
    <row r="115" spans="1:7" s="241" customFormat="1" ht="12.75">
      <c r="A115" s="223">
        <v>2</v>
      </c>
      <c r="B115" s="223"/>
      <c r="C115" s="233" t="s">
        <v>1640</v>
      </c>
      <c r="D115" s="223">
        <v>14</v>
      </c>
      <c r="E115" s="223" t="s">
        <v>1376</v>
      </c>
      <c r="F115" s="223"/>
      <c r="G115" s="234">
        <f t="shared" si="5"/>
        <v>0</v>
      </c>
    </row>
    <row r="116" spans="1:7" s="241" customFormat="1" ht="12.75">
      <c r="A116" s="223">
        <v>3</v>
      </c>
      <c r="B116" s="223"/>
      <c r="C116" s="233" t="s">
        <v>1641</v>
      </c>
      <c r="D116" s="223">
        <v>10</v>
      </c>
      <c r="E116" s="223" t="s">
        <v>62</v>
      </c>
      <c r="F116" s="223"/>
      <c r="G116" s="234">
        <f t="shared" si="5"/>
        <v>0</v>
      </c>
    </row>
    <row r="117" spans="1:7" s="241" customFormat="1" ht="12.75">
      <c r="A117" s="223">
        <v>4</v>
      </c>
      <c r="B117" s="223"/>
      <c r="C117" s="233" t="s">
        <v>1642</v>
      </c>
      <c r="D117" s="223">
        <v>2</v>
      </c>
      <c r="E117" s="223" t="s">
        <v>1376</v>
      </c>
      <c r="F117" s="223"/>
      <c r="G117" s="234">
        <f t="shared" si="5"/>
        <v>0</v>
      </c>
    </row>
    <row r="118" spans="1:7" s="241" customFormat="1" ht="12.75">
      <c r="A118" s="223">
        <v>5</v>
      </c>
      <c r="B118" s="223"/>
      <c r="C118" s="233" t="s">
        <v>1643</v>
      </c>
      <c r="D118" s="223">
        <v>1</v>
      </c>
      <c r="E118" s="223" t="s">
        <v>1376</v>
      </c>
      <c r="F118" s="223"/>
      <c r="G118" s="234">
        <f t="shared" si="5"/>
        <v>0</v>
      </c>
    </row>
    <row r="119" spans="1:7" s="241" customFormat="1" ht="12.75">
      <c r="A119" s="223">
        <v>6</v>
      </c>
      <c r="B119" s="223"/>
      <c r="C119" s="233" t="s">
        <v>1644</v>
      </c>
      <c r="D119" s="223">
        <v>1</v>
      </c>
      <c r="E119" s="223" t="s">
        <v>1376</v>
      </c>
      <c r="F119" s="223"/>
      <c r="G119" s="234">
        <f t="shared" si="5"/>
        <v>0</v>
      </c>
    </row>
    <row r="120" spans="1:7" s="241" customFormat="1" ht="12.75">
      <c r="A120" s="223">
        <v>7</v>
      </c>
      <c r="B120" s="223"/>
      <c r="C120" s="233" t="s">
        <v>1645</v>
      </c>
      <c r="D120" s="223">
        <v>2</v>
      </c>
      <c r="E120" s="223" t="s">
        <v>1376</v>
      </c>
      <c r="F120" s="223"/>
      <c r="G120" s="234">
        <f t="shared" si="5"/>
        <v>0</v>
      </c>
    </row>
    <row r="121" spans="1:7" s="241" customFormat="1" ht="12.75">
      <c r="A121" s="223">
        <v>8</v>
      </c>
      <c r="B121" s="223"/>
      <c r="C121" s="233" t="s">
        <v>1646</v>
      </c>
      <c r="D121" s="223">
        <v>1</v>
      </c>
      <c r="E121" s="223" t="s">
        <v>1376</v>
      </c>
      <c r="F121" s="223"/>
      <c r="G121" s="234">
        <f t="shared" si="5"/>
        <v>0</v>
      </c>
    </row>
    <row r="122" spans="1:7" s="241" customFormat="1" ht="12.75">
      <c r="A122" s="223">
        <v>9</v>
      </c>
      <c r="B122" s="223"/>
      <c r="C122" s="233" t="s">
        <v>1647</v>
      </c>
      <c r="D122" s="223">
        <v>1</v>
      </c>
      <c r="E122" s="223" t="s">
        <v>1376</v>
      </c>
      <c r="F122" s="223"/>
      <c r="G122" s="234">
        <f t="shared" si="5"/>
        <v>0</v>
      </c>
    </row>
    <row r="123" spans="1:7" s="241" customFormat="1" ht="12.75">
      <c r="A123" s="223">
        <v>10</v>
      </c>
      <c r="B123" s="223"/>
      <c r="C123" s="233" t="s">
        <v>1648</v>
      </c>
      <c r="D123" s="223">
        <v>6</v>
      </c>
      <c r="E123" s="223" t="s">
        <v>813</v>
      </c>
      <c r="F123" s="223"/>
      <c r="G123" s="234">
        <f t="shared" si="5"/>
        <v>0</v>
      </c>
    </row>
    <row r="124" spans="1:7" s="241" customFormat="1" ht="15">
      <c r="A124" s="246"/>
      <c r="B124" s="246"/>
      <c r="C124" s="236" t="s">
        <v>739</v>
      </c>
      <c r="D124" s="237"/>
      <c r="E124" s="237"/>
      <c r="F124" s="237"/>
      <c r="G124" s="238">
        <f>SUM(G114:G123)</f>
        <v>0</v>
      </c>
    </row>
    <row r="125" spans="1:7" s="241" customFormat="1" ht="12.75">
      <c r="C125" s="247"/>
    </row>
    <row r="126" spans="1:7" s="241" customFormat="1" ht="15.75">
      <c r="C126" s="230" t="s">
        <v>1649</v>
      </c>
    </row>
    <row r="127" spans="1:7" s="241" customFormat="1" ht="12.75">
      <c r="A127" s="222" t="s">
        <v>1561</v>
      </c>
      <c r="B127" s="222"/>
      <c r="C127" s="231" t="s">
        <v>1359</v>
      </c>
      <c r="D127" s="222"/>
      <c r="E127" s="232" t="s">
        <v>1361</v>
      </c>
      <c r="F127" s="232" t="s">
        <v>1562</v>
      </c>
      <c r="G127" s="232" t="s">
        <v>739</v>
      </c>
    </row>
    <row r="128" spans="1:7" s="241" customFormat="1" ht="12.75">
      <c r="A128" s="223">
        <v>1</v>
      </c>
      <c r="B128" s="223"/>
      <c r="C128" s="233" t="s">
        <v>1650</v>
      </c>
      <c r="D128" s="233">
        <v>69</v>
      </c>
      <c r="E128" s="245" t="s">
        <v>62</v>
      </c>
      <c r="F128" s="233"/>
      <c r="G128" s="257">
        <f>D128*F128</f>
        <v>0</v>
      </c>
    </row>
    <row r="129" spans="1:7" s="241" customFormat="1" ht="12.75">
      <c r="A129" s="223">
        <v>2</v>
      </c>
      <c r="B129" s="223"/>
      <c r="C129" s="233" t="s">
        <v>1651</v>
      </c>
      <c r="D129" s="223">
        <v>65</v>
      </c>
      <c r="E129" s="223" t="s">
        <v>62</v>
      </c>
      <c r="G129" s="234">
        <f t="shared" ref="G129:G139" si="6">F129*D129</f>
        <v>0</v>
      </c>
    </row>
    <row r="130" spans="1:7" s="241" customFormat="1" ht="12.75">
      <c r="A130" s="223">
        <v>3</v>
      </c>
      <c r="B130" s="223"/>
      <c r="C130" s="233" t="s">
        <v>1652</v>
      </c>
      <c r="D130" s="223">
        <v>1</v>
      </c>
      <c r="E130" s="223" t="s">
        <v>1376</v>
      </c>
      <c r="F130" s="223"/>
      <c r="G130" s="234">
        <f t="shared" si="6"/>
        <v>0</v>
      </c>
    </row>
    <row r="131" spans="1:7" s="241" customFormat="1" ht="12.75">
      <c r="A131" s="223">
        <v>4</v>
      </c>
      <c r="B131" s="223"/>
      <c r="C131" s="233" t="s">
        <v>1653</v>
      </c>
      <c r="D131" s="223">
        <v>1</v>
      </c>
      <c r="E131" s="223" t="s">
        <v>1376</v>
      </c>
      <c r="F131" s="223"/>
      <c r="G131" s="234">
        <f t="shared" si="6"/>
        <v>0</v>
      </c>
    </row>
    <row r="132" spans="1:7" s="241" customFormat="1" ht="12.75">
      <c r="A132" s="223">
        <v>5</v>
      </c>
      <c r="B132" s="223"/>
      <c r="C132" s="233" t="s">
        <v>1654</v>
      </c>
      <c r="D132" s="223">
        <v>1</v>
      </c>
      <c r="E132" s="223" t="s">
        <v>1376</v>
      </c>
      <c r="F132" s="223"/>
      <c r="G132" s="234">
        <f t="shared" si="6"/>
        <v>0</v>
      </c>
    </row>
    <row r="133" spans="1:7" s="241" customFormat="1" ht="12.75">
      <c r="A133" s="223">
        <v>6</v>
      </c>
      <c r="B133" s="223"/>
      <c r="C133" s="233" t="s">
        <v>1655</v>
      </c>
      <c r="D133" s="223">
        <v>1</v>
      </c>
      <c r="E133" s="223" t="s">
        <v>1376</v>
      </c>
      <c r="F133" s="223"/>
      <c r="G133" s="234">
        <f t="shared" si="6"/>
        <v>0</v>
      </c>
    </row>
    <row r="134" spans="1:7" s="241" customFormat="1" ht="12.75">
      <c r="A134" s="223">
        <v>7</v>
      </c>
      <c r="B134" s="223"/>
      <c r="C134" s="233" t="s">
        <v>1656</v>
      </c>
      <c r="D134" s="223">
        <v>1</v>
      </c>
      <c r="E134" s="223" t="s">
        <v>1376</v>
      </c>
      <c r="F134" s="223"/>
      <c r="G134" s="234">
        <f t="shared" si="6"/>
        <v>0</v>
      </c>
    </row>
    <row r="135" spans="1:7" s="241" customFormat="1" ht="12.75">
      <c r="A135" s="223">
        <v>8</v>
      </c>
      <c r="B135" s="223"/>
      <c r="C135" s="233" t="s">
        <v>1657</v>
      </c>
      <c r="D135" s="223">
        <v>1</v>
      </c>
      <c r="E135" s="223" t="s">
        <v>1376</v>
      </c>
      <c r="F135" s="223"/>
      <c r="G135" s="234">
        <f t="shared" si="6"/>
        <v>0</v>
      </c>
    </row>
    <row r="136" spans="1:7" s="241" customFormat="1" ht="12.75">
      <c r="A136" s="223">
        <v>9</v>
      </c>
      <c r="B136" s="223"/>
      <c r="C136" s="233" t="s">
        <v>1658</v>
      </c>
      <c r="D136" s="223">
        <v>1</v>
      </c>
      <c r="E136" s="223" t="s">
        <v>1376</v>
      </c>
      <c r="F136" s="223"/>
      <c r="G136" s="234">
        <f t="shared" si="6"/>
        <v>0</v>
      </c>
    </row>
    <row r="137" spans="1:7" s="241" customFormat="1" ht="12.75">
      <c r="A137" s="223">
        <v>10</v>
      </c>
      <c r="B137" s="223"/>
      <c r="C137" s="233" t="s">
        <v>1659</v>
      </c>
      <c r="D137" s="223">
        <v>1</v>
      </c>
      <c r="E137" s="223" t="s">
        <v>1376</v>
      </c>
      <c r="F137" s="223"/>
      <c r="G137" s="234">
        <f t="shared" si="6"/>
        <v>0</v>
      </c>
    </row>
    <row r="138" spans="1:7" s="241" customFormat="1" ht="24">
      <c r="A138" s="223">
        <v>11</v>
      </c>
      <c r="B138" s="223"/>
      <c r="C138" s="233" t="s">
        <v>1660</v>
      </c>
      <c r="D138" s="223">
        <v>2</v>
      </c>
      <c r="E138" s="223" t="s">
        <v>1376</v>
      </c>
      <c r="F138" s="223"/>
      <c r="G138" s="234">
        <f t="shared" si="6"/>
        <v>0</v>
      </c>
    </row>
    <row r="139" spans="1:7" s="241" customFormat="1" ht="24">
      <c r="A139" s="223">
        <v>12</v>
      </c>
      <c r="B139" s="223"/>
      <c r="C139" s="233" t="s">
        <v>1661</v>
      </c>
      <c r="D139" s="223">
        <v>2</v>
      </c>
      <c r="E139" s="223" t="s">
        <v>1376</v>
      </c>
      <c r="F139" s="223"/>
      <c r="G139" s="234">
        <f t="shared" si="6"/>
        <v>0</v>
      </c>
    </row>
    <row r="140" spans="1:7" s="241" customFormat="1" ht="15">
      <c r="A140" s="246"/>
      <c r="B140" s="246"/>
      <c r="C140" s="236" t="s">
        <v>739</v>
      </c>
      <c r="D140" s="237"/>
      <c r="E140" s="237"/>
      <c r="F140" s="237"/>
      <c r="G140" s="238">
        <f>SUM(G128:G139)</f>
        <v>0</v>
      </c>
    </row>
    <row r="143" spans="1:7" s="241" customFormat="1" ht="31.5">
      <c r="C143" s="230" t="s">
        <v>1662</v>
      </c>
    </row>
    <row r="144" spans="1:7" s="241" customFormat="1" ht="12.75">
      <c r="A144" s="222" t="s">
        <v>1561</v>
      </c>
      <c r="B144" s="222"/>
      <c r="C144" s="231" t="s">
        <v>1359</v>
      </c>
      <c r="D144" s="222"/>
      <c r="E144" s="232" t="s">
        <v>1361</v>
      </c>
      <c r="F144" s="232" t="s">
        <v>1562</v>
      </c>
      <c r="G144" s="232" t="s">
        <v>739</v>
      </c>
    </row>
    <row r="145" spans="1:7" s="241" customFormat="1" ht="12.75">
      <c r="A145" s="223">
        <v>1</v>
      </c>
      <c r="B145" s="223"/>
      <c r="C145" s="233" t="s">
        <v>1663</v>
      </c>
      <c r="D145" s="223">
        <v>240</v>
      </c>
      <c r="E145" s="223" t="s">
        <v>62</v>
      </c>
      <c r="F145" s="223"/>
      <c r="G145" s="234">
        <f t="shared" ref="G145:G154" si="7">F145*D145</f>
        <v>0</v>
      </c>
    </row>
    <row r="146" spans="1:7" s="241" customFormat="1" ht="12.75">
      <c r="A146" s="223">
        <v>2</v>
      </c>
      <c r="B146" s="223"/>
      <c r="C146" s="233" t="s">
        <v>1664</v>
      </c>
      <c r="D146" s="223">
        <v>52</v>
      </c>
      <c r="E146" s="223" t="s">
        <v>1376</v>
      </c>
      <c r="F146" s="223"/>
      <c r="G146" s="234">
        <f t="shared" si="7"/>
        <v>0</v>
      </c>
    </row>
    <row r="147" spans="1:7" s="241" customFormat="1" ht="12.75">
      <c r="A147" s="223">
        <v>3</v>
      </c>
      <c r="B147" s="223"/>
      <c r="C147" s="233" t="s">
        <v>1665</v>
      </c>
      <c r="D147" s="223">
        <v>11</v>
      </c>
      <c r="E147" s="223" t="s">
        <v>1376</v>
      </c>
      <c r="F147" s="223"/>
      <c r="G147" s="234">
        <f t="shared" si="7"/>
        <v>0</v>
      </c>
    </row>
    <row r="148" spans="1:7">
      <c r="A148" s="223">
        <v>4</v>
      </c>
      <c r="C148" s="233" t="s">
        <v>1666</v>
      </c>
      <c r="D148" s="223">
        <v>4</v>
      </c>
      <c r="E148" s="223" t="s">
        <v>1376</v>
      </c>
      <c r="G148" s="234">
        <f t="shared" si="7"/>
        <v>0</v>
      </c>
    </row>
    <row r="149" spans="1:7" s="241" customFormat="1" ht="12.75">
      <c r="A149" s="223">
        <v>5</v>
      </c>
      <c r="B149" s="223"/>
      <c r="C149" s="233" t="s">
        <v>1667</v>
      </c>
      <c r="D149" s="223">
        <v>4</v>
      </c>
      <c r="E149" s="223" t="s">
        <v>1376</v>
      </c>
      <c r="F149" s="223"/>
      <c r="G149" s="234">
        <f t="shared" si="7"/>
        <v>0</v>
      </c>
    </row>
    <row r="150" spans="1:7" s="241" customFormat="1" ht="12.75">
      <c r="A150" s="223">
        <v>6</v>
      </c>
      <c r="B150" s="223"/>
      <c r="C150" s="233" t="s">
        <v>1668</v>
      </c>
      <c r="D150" s="223">
        <v>1</v>
      </c>
      <c r="E150" s="223" t="s">
        <v>1376</v>
      </c>
      <c r="F150" s="223"/>
      <c r="G150" s="234">
        <f t="shared" si="7"/>
        <v>0</v>
      </c>
    </row>
    <row r="151" spans="1:7">
      <c r="A151" s="223">
        <v>7</v>
      </c>
      <c r="C151" s="233" t="s">
        <v>1669</v>
      </c>
      <c r="D151" s="223">
        <v>3</v>
      </c>
      <c r="E151" s="223" t="s">
        <v>1376</v>
      </c>
      <c r="G151" s="234">
        <f t="shared" si="7"/>
        <v>0</v>
      </c>
    </row>
    <row r="152" spans="1:7" s="241" customFormat="1" ht="12.75">
      <c r="A152" s="223">
        <v>8</v>
      </c>
      <c r="B152" s="223"/>
      <c r="C152" s="233" t="s">
        <v>1670</v>
      </c>
      <c r="D152" s="223">
        <v>3</v>
      </c>
      <c r="E152" s="223" t="s">
        <v>1376</v>
      </c>
      <c r="F152" s="223"/>
      <c r="G152" s="234">
        <f t="shared" si="7"/>
        <v>0</v>
      </c>
    </row>
    <row r="153" spans="1:7" s="241" customFormat="1" ht="12.75">
      <c r="A153" s="223">
        <v>9</v>
      </c>
      <c r="B153" s="223"/>
      <c r="C153" s="233" t="s">
        <v>1671</v>
      </c>
      <c r="D153" s="223">
        <v>1</v>
      </c>
      <c r="E153" s="223" t="s">
        <v>1376</v>
      </c>
      <c r="F153" s="223"/>
      <c r="G153" s="234">
        <f t="shared" si="7"/>
        <v>0</v>
      </c>
    </row>
    <row r="154" spans="1:7" s="241" customFormat="1" ht="12.75">
      <c r="A154" s="223">
        <v>10</v>
      </c>
      <c r="B154" s="223"/>
      <c r="C154" s="233" t="s">
        <v>1672</v>
      </c>
      <c r="D154" s="223">
        <v>1</v>
      </c>
      <c r="E154" s="223" t="s">
        <v>1376</v>
      </c>
      <c r="F154" s="223"/>
      <c r="G154" s="234">
        <f t="shared" si="7"/>
        <v>0</v>
      </c>
    </row>
    <row r="155" spans="1:7" s="241" customFormat="1" ht="15">
      <c r="A155" s="246"/>
      <c r="B155" s="246"/>
      <c r="C155" s="236" t="s">
        <v>739</v>
      </c>
      <c r="D155" s="237"/>
      <c r="E155" s="237"/>
      <c r="F155" s="237"/>
      <c r="G155" s="238">
        <f>SUM(G145:G154)</f>
        <v>0</v>
      </c>
    </row>
    <row r="156" spans="1:7" s="241" customFormat="1" ht="12.75">
      <c r="B156" s="243"/>
      <c r="C156" s="240"/>
      <c r="G156" s="242"/>
    </row>
    <row r="157" spans="1:7" s="241" customFormat="1" ht="12.75">
      <c r="C157" s="247"/>
    </row>
    <row r="158" spans="1:7" s="241" customFormat="1" ht="31.5">
      <c r="C158" s="230" t="s">
        <v>1673</v>
      </c>
    </row>
    <row r="159" spans="1:7" s="241" customFormat="1" ht="12.75">
      <c r="A159" s="222" t="s">
        <v>1561</v>
      </c>
      <c r="B159" s="222"/>
      <c r="C159" s="231" t="s">
        <v>1359</v>
      </c>
      <c r="D159" s="222"/>
      <c r="E159" s="232" t="s">
        <v>1361</v>
      </c>
      <c r="F159" s="232" t="s">
        <v>1562</v>
      </c>
      <c r="G159" s="232" t="s">
        <v>739</v>
      </c>
    </row>
    <row r="160" spans="1:7" s="241" customFormat="1" ht="12.75">
      <c r="A160" s="223">
        <v>1</v>
      </c>
      <c r="B160" s="223"/>
      <c r="C160" s="233" t="s">
        <v>1663</v>
      </c>
      <c r="D160" s="223">
        <v>240</v>
      </c>
      <c r="E160" s="223" t="s">
        <v>62</v>
      </c>
      <c r="F160" s="223"/>
      <c r="G160" s="234">
        <f t="shared" ref="G160:G170" si="8">F160*D160</f>
        <v>0</v>
      </c>
    </row>
    <row r="161" spans="1:7" s="241" customFormat="1" ht="12.75">
      <c r="A161" s="223">
        <v>2</v>
      </c>
      <c r="B161" s="223"/>
      <c r="C161" s="233" t="s">
        <v>1674</v>
      </c>
      <c r="D161" s="223">
        <v>11</v>
      </c>
      <c r="E161" s="223" t="s">
        <v>1376</v>
      </c>
      <c r="F161" s="223"/>
      <c r="G161" s="234">
        <f t="shared" si="8"/>
        <v>0</v>
      </c>
    </row>
    <row r="162" spans="1:7" s="241" customFormat="1" ht="12.75">
      <c r="A162" s="223">
        <v>3</v>
      </c>
      <c r="B162" s="223"/>
      <c r="C162" s="233" t="s">
        <v>1675</v>
      </c>
      <c r="D162" s="223">
        <v>4</v>
      </c>
      <c r="E162" s="223" t="s">
        <v>1376</v>
      </c>
      <c r="F162" s="223"/>
      <c r="G162" s="234">
        <f t="shared" si="8"/>
        <v>0</v>
      </c>
    </row>
    <row r="163" spans="1:7" s="241" customFormat="1" ht="12.75">
      <c r="A163" s="223">
        <v>4</v>
      </c>
      <c r="B163" s="223"/>
      <c r="C163" s="233" t="s">
        <v>1676</v>
      </c>
      <c r="D163" s="223">
        <v>4</v>
      </c>
      <c r="E163" s="223" t="s">
        <v>1376</v>
      </c>
      <c r="F163" s="223"/>
      <c r="G163" s="234">
        <f t="shared" si="8"/>
        <v>0</v>
      </c>
    </row>
    <row r="164" spans="1:7" s="241" customFormat="1" ht="24">
      <c r="A164" s="223">
        <v>5</v>
      </c>
      <c r="B164" s="223"/>
      <c r="C164" s="233" t="s">
        <v>1677</v>
      </c>
      <c r="D164" s="223">
        <v>1</v>
      </c>
      <c r="E164" s="223" t="s">
        <v>1376</v>
      </c>
      <c r="F164" s="223"/>
      <c r="G164" s="234">
        <f t="shared" si="8"/>
        <v>0</v>
      </c>
    </row>
    <row r="165" spans="1:7" s="241" customFormat="1" ht="24">
      <c r="A165" s="223">
        <v>6</v>
      </c>
      <c r="B165" s="223"/>
      <c r="C165" s="233" t="s">
        <v>1678</v>
      </c>
      <c r="D165" s="223">
        <v>3</v>
      </c>
      <c r="E165" s="223" t="s">
        <v>1376</v>
      </c>
      <c r="F165" s="223"/>
      <c r="G165" s="234">
        <f t="shared" si="8"/>
        <v>0</v>
      </c>
    </row>
    <row r="166" spans="1:7" s="241" customFormat="1" ht="12.75">
      <c r="A166" s="223">
        <v>7</v>
      </c>
      <c r="B166" s="223"/>
      <c r="C166" s="233" t="s">
        <v>1679</v>
      </c>
      <c r="D166" s="223">
        <v>3</v>
      </c>
      <c r="E166" s="223" t="s">
        <v>1376</v>
      </c>
      <c r="F166" s="223"/>
      <c r="G166" s="234">
        <f t="shared" si="8"/>
        <v>0</v>
      </c>
    </row>
    <row r="167" spans="1:7" s="241" customFormat="1" ht="12.75">
      <c r="A167" s="223">
        <v>8</v>
      </c>
      <c r="B167" s="223"/>
      <c r="C167" s="233" t="s">
        <v>1680</v>
      </c>
      <c r="D167" s="223">
        <v>20</v>
      </c>
      <c r="E167" s="223" t="s">
        <v>1376</v>
      </c>
      <c r="F167" s="223"/>
      <c r="G167" s="234">
        <f t="shared" si="8"/>
        <v>0</v>
      </c>
    </row>
    <row r="168" spans="1:7" s="241" customFormat="1" ht="12.75">
      <c r="A168" s="223">
        <v>9</v>
      </c>
      <c r="B168" s="223"/>
      <c r="C168" s="233" t="s">
        <v>1681</v>
      </c>
      <c r="D168" s="223">
        <v>1</v>
      </c>
      <c r="E168" s="223" t="s">
        <v>1376</v>
      </c>
      <c r="F168" s="223"/>
      <c r="G168" s="234">
        <f t="shared" si="8"/>
        <v>0</v>
      </c>
    </row>
    <row r="169" spans="1:7" s="241" customFormat="1" ht="12.75">
      <c r="A169" s="223">
        <v>10</v>
      </c>
      <c r="B169" s="223"/>
      <c r="C169" s="233" t="s">
        <v>1682</v>
      </c>
      <c r="D169" s="223">
        <v>3</v>
      </c>
      <c r="E169" s="223" t="s">
        <v>1376</v>
      </c>
      <c r="F169" s="223"/>
      <c r="G169" s="234">
        <f t="shared" si="8"/>
        <v>0</v>
      </c>
    </row>
    <row r="170" spans="1:7" s="241" customFormat="1" ht="12.75">
      <c r="A170" s="223">
        <v>11</v>
      </c>
      <c r="B170" s="223"/>
      <c r="C170" s="233" t="s">
        <v>1683</v>
      </c>
      <c r="D170" s="223">
        <v>1</v>
      </c>
      <c r="E170" s="223" t="s">
        <v>1376</v>
      </c>
      <c r="F170" s="223"/>
      <c r="G170" s="234">
        <f t="shared" si="8"/>
        <v>0</v>
      </c>
    </row>
    <row r="171" spans="1:7" s="241" customFormat="1" ht="15">
      <c r="A171" s="246"/>
      <c r="B171" s="246"/>
      <c r="C171" s="236" t="s">
        <v>739</v>
      </c>
      <c r="D171" s="237"/>
      <c r="E171" s="237"/>
      <c r="F171" s="237"/>
      <c r="G171" s="238">
        <f>SUM(G160:G170)</f>
        <v>0</v>
      </c>
    </row>
    <row r="172" spans="1:7" s="241" customFormat="1" ht="15">
      <c r="A172" s="223"/>
      <c r="B172" s="223"/>
      <c r="C172" s="233"/>
      <c r="D172" s="223"/>
      <c r="E172" s="223"/>
      <c r="F172" s="223"/>
      <c r="G172" s="311">
        <f>G29+G46+G64+G71+G77+G95+G109+G124+G140+G155+G171</f>
        <v>0</v>
      </c>
    </row>
    <row r="178" spans="1:7" s="259" customFormat="1" ht="12.75">
      <c r="A178" s="258"/>
      <c r="B178" s="258"/>
      <c r="C178" s="258"/>
      <c r="D178" s="258"/>
      <c r="E178" s="258"/>
      <c r="F178" s="258"/>
      <c r="G178" s="258"/>
    </row>
    <row r="180" spans="1:7" ht="12.75">
      <c r="A180" s="260"/>
      <c r="B180" s="260"/>
      <c r="C180" s="261"/>
      <c r="D180" s="260"/>
      <c r="E180" s="260"/>
      <c r="F180" s="262"/>
      <c r="G180" s="263"/>
    </row>
    <row r="181" spans="1:7" ht="12.75">
      <c r="A181" s="260"/>
      <c r="B181" s="260"/>
      <c r="C181" s="261"/>
      <c r="D181" s="260"/>
      <c r="E181" s="260"/>
      <c r="F181" s="260"/>
      <c r="G181" s="260"/>
    </row>
  </sheetData>
  <sheetProtection selectLockedCells="1" selectUnlockedCells="1"/>
  <mergeCells count="2">
    <mergeCell ref="A2:G2"/>
    <mergeCell ref="A4:G4"/>
  </mergeCells>
  <pageMargins left="0.37986111111111109" right="0.4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47"/>
  <sheetViews>
    <sheetView showGridLines="0" workbookViewId="0">
      <selection activeCell="S25" sqref="S25"/>
    </sheetView>
  </sheetViews>
  <sheetFormatPr defaultRowHeight="12.75" outlineLevelRow="1"/>
  <cols>
    <col min="1" max="1" width="4.28515625" customWidth="1"/>
    <col min="2" max="2" width="14.42578125" style="29" customWidth="1"/>
    <col min="3" max="3" width="38.28515625" style="29" customWidth="1"/>
    <col min="4" max="4" width="4.5703125" customWidth="1"/>
    <col min="5" max="5" width="10.5703125" style="275" customWidth="1"/>
    <col min="6" max="6" width="9.85546875" customWidth="1"/>
    <col min="7" max="7" width="12.7109375" customWidth="1"/>
    <col min="8" max="14" width="0" hidden="1" customWidth="1"/>
    <col min="29" max="39" width="0" hidden="1" customWidth="1"/>
    <col min="53" max="53" width="73.42578125" customWidth="1"/>
  </cols>
  <sheetData>
    <row r="1" spans="1:60" ht="16.5" thickBot="1">
      <c r="A1" s="318" t="s">
        <v>1753</v>
      </c>
      <c r="B1" s="318"/>
      <c r="C1" s="319"/>
      <c r="D1" s="318"/>
      <c r="E1" s="318"/>
      <c r="F1" s="318"/>
      <c r="G1" s="318"/>
      <c r="H1" s="1"/>
      <c r="I1" s="1"/>
      <c r="J1" s="1"/>
    </row>
    <row r="2" spans="1:60" ht="13.5" thickTop="1">
      <c r="A2" s="2" t="s">
        <v>1</v>
      </c>
      <c r="B2" s="3" t="s">
        <v>11</v>
      </c>
      <c r="C2" s="332" t="s">
        <v>12</v>
      </c>
      <c r="D2" s="320"/>
      <c r="E2" s="320"/>
      <c r="F2" s="320"/>
      <c r="G2" s="321"/>
      <c r="H2" s="1"/>
      <c r="I2" s="1"/>
      <c r="J2" s="1"/>
    </row>
    <row r="3" spans="1:60">
      <c r="A3" s="4" t="s">
        <v>2</v>
      </c>
      <c r="B3" s="264" t="s">
        <v>13</v>
      </c>
      <c r="C3" s="333" t="s">
        <v>14</v>
      </c>
      <c r="D3" s="334"/>
      <c r="E3" s="334"/>
      <c r="F3" s="334"/>
      <c r="G3" s="323"/>
      <c r="H3" s="1"/>
      <c r="I3" s="1"/>
      <c r="J3" s="1"/>
    </row>
    <row r="4" spans="1:60" ht="13.5" thickBot="1">
      <c r="A4" s="26" t="s">
        <v>3</v>
      </c>
      <c r="B4" s="27" t="s">
        <v>1684</v>
      </c>
      <c r="C4" s="335" t="s">
        <v>1685</v>
      </c>
      <c r="D4" s="336"/>
      <c r="E4" s="336"/>
      <c r="F4" s="336"/>
      <c r="G4" s="375"/>
      <c r="H4" s="1"/>
      <c r="I4" s="1"/>
      <c r="J4" s="1"/>
    </row>
    <row r="5" spans="1:60" ht="14.25" thickTop="1" thickBot="1">
      <c r="A5" s="1"/>
      <c r="B5" s="8"/>
      <c r="C5" s="9"/>
      <c r="D5" s="10"/>
      <c r="E5" s="265"/>
      <c r="F5" s="1"/>
      <c r="G5" s="1"/>
      <c r="H5" s="1"/>
      <c r="I5" s="1"/>
      <c r="J5" s="1"/>
    </row>
    <row r="6" spans="1:60" ht="14.25" thickTop="1" thickBot="1">
      <c r="A6" s="34" t="s">
        <v>4</v>
      </c>
      <c r="B6" s="35" t="s">
        <v>5</v>
      </c>
      <c r="C6" s="31" t="s">
        <v>6</v>
      </c>
      <c r="D6" s="32" t="s">
        <v>7</v>
      </c>
      <c r="E6" s="266" t="s">
        <v>8</v>
      </c>
      <c r="F6" s="33" t="s">
        <v>9</v>
      </c>
      <c r="G6" s="267" t="s">
        <v>10</v>
      </c>
      <c r="H6" s="1"/>
      <c r="I6" s="1"/>
      <c r="J6" s="1"/>
    </row>
    <row r="7" spans="1:60">
      <c r="A7" s="46" t="s">
        <v>49</v>
      </c>
      <c r="B7" s="47" t="s">
        <v>16</v>
      </c>
      <c r="C7" s="48" t="s">
        <v>17</v>
      </c>
      <c r="D7" s="28"/>
      <c r="E7" s="268"/>
      <c r="F7" s="337">
        <f>SUM(G8:G10)</f>
        <v>0</v>
      </c>
      <c r="G7" s="376"/>
      <c r="H7" s="1"/>
      <c r="I7" s="1"/>
      <c r="J7" s="1"/>
    </row>
    <row r="8" spans="1:60" ht="33.75" outlineLevel="1">
      <c r="A8" s="44">
        <v>1</v>
      </c>
      <c r="B8" s="37" t="s">
        <v>50</v>
      </c>
      <c r="C8" s="49" t="s">
        <v>1686</v>
      </c>
      <c r="D8" s="39" t="s">
        <v>52</v>
      </c>
      <c r="E8" s="269">
        <v>0</v>
      </c>
      <c r="F8" s="43"/>
      <c r="G8" s="270">
        <f>E8*F8</f>
        <v>0</v>
      </c>
      <c r="H8" s="271"/>
      <c r="I8" s="271"/>
      <c r="J8" s="27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</row>
    <row r="9" spans="1:60" ht="33.75" outlineLevel="1">
      <c r="A9" s="44"/>
      <c r="B9" s="37"/>
      <c r="C9" s="326" t="s">
        <v>1687</v>
      </c>
      <c r="D9" s="327"/>
      <c r="E9" s="328"/>
      <c r="F9" s="329"/>
      <c r="G9" s="377"/>
      <c r="H9" s="271"/>
      <c r="I9" s="271"/>
      <c r="J9" s="271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6" t="str">
        <f>C9</f>
        <v>Položky, které nejsou v cenové soustavě RTS jsou vytvořeny individuální kalkulací na základě jednotkových cen prací obdobného charakteru platných v dané době a v dané lokalitě a mají označení ve sloupci " číslo položky " :</v>
      </c>
      <c r="BB9" s="30"/>
      <c r="BC9" s="30"/>
      <c r="BD9" s="30"/>
      <c r="BE9" s="30"/>
      <c r="BF9" s="30"/>
      <c r="BG9" s="30"/>
      <c r="BH9" s="30"/>
    </row>
    <row r="10" spans="1:60" outlineLevel="1">
      <c r="A10" s="44"/>
      <c r="B10" s="37"/>
      <c r="C10" s="326" t="s">
        <v>1688</v>
      </c>
      <c r="D10" s="327"/>
      <c r="E10" s="328"/>
      <c r="F10" s="329"/>
      <c r="G10" s="377"/>
      <c r="H10" s="271"/>
      <c r="I10" s="271"/>
      <c r="J10" s="271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6" t="str">
        <f>C10</f>
        <v>- velké PC před číslem položky.</v>
      </c>
      <c r="BB10" s="30"/>
      <c r="BC10" s="30"/>
      <c r="BD10" s="30"/>
      <c r="BE10" s="30"/>
      <c r="BF10" s="30"/>
      <c r="BG10" s="30"/>
      <c r="BH10" s="30"/>
    </row>
    <row r="11" spans="1:60">
      <c r="A11" s="45" t="s">
        <v>49</v>
      </c>
      <c r="B11" s="38" t="s">
        <v>1689</v>
      </c>
      <c r="C11" s="50" t="s">
        <v>1690</v>
      </c>
      <c r="D11" s="40"/>
      <c r="E11" s="272"/>
      <c r="F11" s="330">
        <f>SUM(G12:G17)</f>
        <v>0</v>
      </c>
      <c r="G11" s="374"/>
      <c r="H11" s="1"/>
      <c r="I11" s="1"/>
      <c r="J11" s="1"/>
    </row>
    <row r="12" spans="1:60" outlineLevel="1">
      <c r="A12" s="44">
        <v>2</v>
      </c>
      <c r="B12" s="37" t="s">
        <v>1691</v>
      </c>
      <c r="C12" s="49" t="s">
        <v>1692</v>
      </c>
      <c r="D12" s="39" t="s">
        <v>1693</v>
      </c>
      <c r="E12" s="269">
        <v>1</v>
      </c>
      <c r="F12" s="43"/>
      <c r="G12" s="270">
        <f>E12*F12</f>
        <v>0</v>
      </c>
      <c r="H12" s="271"/>
      <c r="I12" s="271"/>
      <c r="J12" s="271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</row>
    <row r="13" spans="1:60" ht="33.75" outlineLevel="1">
      <c r="A13" s="44"/>
      <c r="B13" s="37"/>
      <c r="C13" s="326" t="s">
        <v>1694</v>
      </c>
      <c r="D13" s="327"/>
      <c r="E13" s="328"/>
      <c r="F13" s="329"/>
      <c r="G13" s="377"/>
      <c r="H13" s="271"/>
      <c r="I13" s="271"/>
      <c r="J13" s="271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6" t="str">
        <f>C13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3" s="30"/>
      <c r="BC13" s="30"/>
      <c r="BD13" s="30"/>
      <c r="BE13" s="30"/>
      <c r="BF13" s="30"/>
      <c r="BG13" s="30"/>
      <c r="BH13" s="30"/>
    </row>
    <row r="14" spans="1:60" outlineLevel="1">
      <c r="A14" s="44">
        <v>3</v>
      </c>
      <c r="B14" s="37" t="s">
        <v>1695</v>
      </c>
      <c r="C14" s="49" t="s">
        <v>1696</v>
      </c>
      <c r="D14" s="39" t="s">
        <v>1693</v>
      </c>
      <c r="E14" s="269">
        <v>1</v>
      </c>
      <c r="F14" s="43"/>
      <c r="G14" s="270">
        <f>E14*F14</f>
        <v>0</v>
      </c>
      <c r="H14" s="271"/>
      <c r="I14" s="271"/>
      <c r="J14" s="271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</row>
    <row r="15" spans="1:60" ht="45" outlineLevel="1">
      <c r="A15" s="44"/>
      <c r="B15" s="37"/>
      <c r="C15" s="326" t="s">
        <v>1697</v>
      </c>
      <c r="D15" s="327"/>
      <c r="E15" s="328"/>
      <c r="F15" s="329"/>
      <c r="G15" s="377"/>
      <c r="H15" s="271"/>
      <c r="I15" s="271"/>
      <c r="J15" s="271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6" t="str">
        <f>C15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5" s="30"/>
      <c r="BC15" s="30"/>
      <c r="BD15" s="30"/>
      <c r="BE15" s="30"/>
      <c r="BF15" s="30"/>
      <c r="BG15" s="30"/>
      <c r="BH15" s="30"/>
    </row>
    <row r="16" spans="1:60" outlineLevel="1">
      <c r="A16" s="44">
        <v>4</v>
      </c>
      <c r="B16" s="37" t="s">
        <v>1698</v>
      </c>
      <c r="C16" s="49" t="s">
        <v>1699</v>
      </c>
      <c r="D16" s="39" t="s">
        <v>1693</v>
      </c>
      <c r="E16" s="269">
        <v>1</v>
      </c>
      <c r="F16" s="43"/>
      <c r="G16" s="270">
        <f>E16*F16</f>
        <v>0</v>
      </c>
      <c r="H16" s="271"/>
      <c r="I16" s="271"/>
      <c r="J16" s="271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</row>
    <row r="17" spans="1:60" ht="33.75" outlineLevel="1">
      <c r="A17" s="44"/>
      <c r="B17" s="37"/>
      <c r="C17" s="326" t="s">
        <v>1700</v>
      </c>
      <c r="D17" s="327"/>
      <c r="E17" s="328"/>
      <c r="F17" s="329"/>
      <c r="G17" s="377"/>
      <c r="H17" s="271"/>
      <c r="I17" s="271"/>
      <c r="J17" s="271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6" t="str">
        <f>C17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7" s="30"/>
      <c r="BC17" s="30"/>
      <c r="BD17" s="30"/>
      <c r="BE17" s="30"/>
      <c r="BF17" s="30"/>
      <c r="BG17" s="30"/>
      <c r="BH17" s="30"/>
    </row>
    <row r="18" spans="1:60">
      <c r="A18" s="45" t="s">
        <v>49</v>
      </c>
      <c r="B18" s="38" t="s">
        <v>1701</v>
      </c>
      <c r="C18" s="50" t="s">
        <v>1702</v>
      </c>
      <c r="D18" s="40"/>
      <c r="E18" s="272"/>
      <c r="F18" s="330">
        <f>SUM(G19:G32)</f>
        <v>0</v>
      </c>
      <c r="G18" s="374"/>
      <c r="H18" s="1"/>
      <c r="I18" s="1"/>
      <c r="J18" s="1"/>
    </row>
    <row r="19" spans="1:60" outlineLevel="1">
      <c r="A19" s="44">
        <v>5</v>
      </c>
      <c r="B19" s="37" t="s">
        <v>1703</v>
      </c>
      <c r="C19" s="49" t="s">
        <v>1704</v>
      </c>
      <c r="D19" s="39" t="s">
        <v>52</v>
      </c>
      <c r="E19" s="269">
        <v>1</v>
      </c>
      <c r="F19" s="43"/>
      <c r="G19" s="270">
        <f>E19*F19</f>
        <v>0</v>
      </c>
      <c r="H19" s="271"/>
      <c r="I19" s="271"/>
      <c r="J19" s="271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</row>
    <row r="20" spans="1:60" outlineLevel="1">
      <c r="A20" s="44">
        <v>6</v>
      </c>
      <c r="B20" s="37" t="s">
        <v>1705</v>
      </c>
      <c r="C20" s="49" t="s">
        <v>1706</v>
      </c>
      <c r="D20" s="39" t="s">
        <v>958</v>
      </c>
      <c r="E20" s="269">
        <v>1</v>
      </c>
      <c r="F20" s="43"/>
      <c r="G20" s="270">
        <f>E20*F20</f>
        <v>0</v>
      </c>
      <c r="H20" s="271"/>
      <c r="I20" s="271"/>
      <c r="J20" s="271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</row>
    <row r="21" spans="1:60" outlineLevel="1">
      <c r="A21" s="44"/>
      <c r="B21" s="37"/>
      <c r="C21" s="326" t="s">
        <v>1707</v>
      </c>
      <c r="D21" s="327"/>
      <c r="E21" s="328"/>
      <c r="F21" s="329"/>
      <c r="G21" s="377"/>
      <c r="H21" s="271"/>
      <c r="I21" s="271"/>
      <c r="J21" s="271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6" t="str">
        <f>C21</f>
        <v>aktualizovaný projekt ( protihluková studie ) - pevně stanovená cena zadavatelem 15 000 Kč bez DPH</v>
      </c>
      <c r="BB21" s="30"/>
      <c r="BC21" s="30"/>
      <c r="BD21" s="30"/>
      <c r="BE21" s="30"/>
      <c r="BF21" s="30"/>
      <c r="BG21" s="30"/>
      <c r="BH21" s="30"/>
    </row>
    <row r="22" spans="1:60" outlineLevel="1">
      <c r="A22" s="44">
        <v>7</v>
      </c>
      <c r="B22" s="37" t="s">
        <v>1708</v>
      </c>
      <c r="C22" s="49" t="s">
        <v>1709</v>
      </c>
      <c r="D22" s="39" t="s">
        <v>52</v>
      </c>
      <c r="E22" s="269">
        <v>1</v>
      </c>
      <c r="F22" s="43"/>
      <c r="G22" s="270">
        <f>E22*F22</f>
        <v>0</v>
      </c>
      <c r="H22" s="271"/>
      <c r="I22" s="271"/>
      <c r="J22" s="271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0"/>
      <c r="AJ22" s="30"/>
      <c r="AK22" s="30"/>
      <c r="AL22" s="30"/>
      <c r="AM22" s="30"/>
      <c r="AN22" s="30"/>
      <c r="AO22" s="30"/>
      <c r="AP22" s="30"/>
      <c r="AQ22" s="30"/>
      <c r="AR22" s="30"/>
      <c r="AS22" s="30"/>
      <c r="AT22" s="30"/>
      <c r="AU22" s="30"/>
      <c r="AV22" s="30"/>
      <c r="AW22" s="30"/>
      <c r="AX22" s="30"/>
      <c r="AY22" s="30"/>
      <c r="AZ22" s="30"/>
      <c r="BA22" s="30"/>
      <c r="BB22" s="30"/>
      <c r="BC22" s="30"/>
      <c r="BD22" s="30"/>
      <c r="BE22" s="30"/>
      <c r="BF22" s="30"/>
      <c r="BG22" s="30"/>
      <c r="BH22" s="30"/>
    </row>
    <row r="23" spans="1:60" ht="22.5" outlineLevel="1">
      <c r="A23" s="44"/>
      <c r="B23" s="37"/>
      <c r="C23" s="326" t="s">
        <v>1710</v>
      </c>
      <c r="D23" s="327"/>
      <c r="E23" s="328"/>
      <c r="F23" s="329"/>
      <c r="G23" s="377"/>
      <c r="H23" s="271"/>
      <c r="I23" s="271"/>
      <c r="J23" s="271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6" t="str">
        <f>C23</f>
        <v>Náklady zhotovitele spojené se zabezpečením a poskytnutím zajišťovacích bankovních záruk, pokud je zadavatel požaduje v obchodních podmínkách.</v>
      </c>
      <c r="BB23" s="30"/>
      <c r="BC23" s="30"/>
      <c r="BD23" s="30"/>
      <c r="BE23" s="30"/>
      <c r="BF23" s="30"/>
      <c r="BG23" s="30"/>
      <c r="BH23" s="30"/>
    </row>
    <row r="24" spans="1:60" outlineLevel="1">
      <c r="A24" s="44">
        <v>8</v>
      </c>
      <c r="B24" s="37" t="s">
        <v>1711</v>
      </c>
      <c r="C24" s="49" t="s">
        <v>1712</v>
      </c>
      <c r="D24" s="39" t="s">
        <v>52</v>
      </c>
      <c r="E24" s="269">
        <v>1</v>
      </c>
      <c r="F24" s="43"/>
      <c r="G24" s="270">
        <f>E24*F24</f>
        <v>0</v>
      </c>
      <c r="H24" s="271"/>
      <c r="I24" s="271"/>
      <c r="J24" s="271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</row>
    <row r="25" spans="1:60" ht="22.5" outlineLevel="1">
      <c r="A25" s="44"/>
      <c r="B25" s="37"/>
      <c r="C25" s="326" t="s">
        <v>1713</v>
      </c>
      <c r="D25" s="327"/>
      <c r="E25" s="328"/>
      <c r="F25" s="329"/>
      <c r="G25" s="377"/>
      <c r="H25" s="271"/>
      <c r="I25" s="271"/>
      <c r="J25" s="271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6" t="str">
        <f>C25</f>
        <v>Náklady spojené s povinným pojištěním dodavatele nebo stavebního díla či jeho části, v rozsahu obchodních podmínek.</v>
      </c>
      <c r="BB25" s="30"/>
      <c r="BC25" s="30"/>
      <c r="BD25" s="30"/>
      <c r="BE25" s="30"/>
      <c r="BF25" s="30"/>
      <c r="BG25" s="30"/>
      <c r="BH25" s="30"/>
    </row>
    <row r="26" spans="1:60" outlineLevel="1">
      <c r="A26" s="44">
        <v>9</v>
      </c>
      <c r="B26" s="37" t="s">
        <v>1714</v>
      </c>
      <c r="C26" s="49" t="s">
        <v>1715</v>
      </c>
      <c r="D26" s="39" t="s">
        <v>1693</v>
      </c>
      <c r="E26" s="269">
        <v>1</v>
      </c>
      <c r="F26" s="43"/>
      <c r="G26" s="270">
        <f>E26*F26</f>
        <v>0</v>
      </c>
      <c r="H26" s="271"/>
      <c r="I26" s="271"/>
      <c r="J26" s="271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  <c r="BC26" s="30"/>
      <c r="BD26" s="30"/>
      <c r="BE26" s="30"/>
      <c r="BF26" s="30"/>
      <c r="BG26" s="30"/>
      <c r="BH26" s="30"/>
    </row>
    <row r="27" spans="1:60" outlineLevel="1">
      <c r="A27" s="44"/>
      <c r="B27" s="37"/>
      <c r="C27" s="326" t="s">
        <v>1716</v>
      </c>
      <c r="D27" s="327"/>
      <c r="E27" s="328"/>
      <c r="F27" s="329"/>
      <c r="G27" s="377"/>
      <c r="H27" s="271"/>
      <c r="I27" s="271"/>
      <c r="J27" s="271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6" t="str">
        <f>C27</f>
        <v>Náklady spojené s účastí zhotovitele na předání a převzetí staveniště.</v>
      </c>
      <c r="BB27" s="30"/>
      <c r="BC27" s="30"/>
      <c r="BD27" s="30"/>
      <c r="BE27" s="30"/>
      <c r="BF27" s="30"/>
      <c r="BG27" s="30"/>
      <c r="BH27" s="30"/>
    </row>
    <row r="28" spans="1:60" outlineLevel="1">
      <c r="A28" s="44">
        <v>10</v>
      </c>
      <c r="B28" s="37" t="s">
        <v>1717</v>
      </c>
      <c r="C28" s="49" t="s">
        <v>1718</v>
      </c>
      <c r="D28" s="39" t="s">
        <v>1693</v>
      </c>
      <c r="E28" s="269">
        <v>1</v>
      </c>
      <c r="F28" s="43"/>
      <c r="G28" s="270">
        <f>E28*F28</f>
        <v>0</v>
      </c>
      <c r="H28" s="271"/>
      <c r="I28" s="271"/>
      <c r="J28" s="271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  <c r="BC28" s="30"/>
      <c r="BD28" s="30"/>
      <c r="BE28" s="30"/>
      <c r="BF28" s="30"/>
      <c r="BG28" s="30"/>
      <c r="BH28" s="30"/>
    </row>
    <row r="29" spans="1:60" ht="22.5" outlineLevel="1">
      <c r="A29" s="44"/>
      <c r="B29" s="37"/>
      <c r="C29" s="326" t="s">
        <v>1719</v>
      </c>
      <c r="D29" s="327"/>
      <c r="E29" s="328"/>
      <c r="F29" s="329"/>
      <c r="G29" s="377"/>
      <c r="H29" s="271"/>
      <c r="I29" s="271"/>
      <c r="J29" s="271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6" t="str">
        <f>C29</f>
        <v>Náklady na vyhotovení dokumentace skutečného provedení stavby a její předání objednateli v požadované formě a požadovaném počtu.( 3 x grafická podoba s 1 x autorizací,</v>
      </c>
      <c r="BB29" s="30"/>
      <c r="BC29" s="30"/>
      <c r="BD29" s="30"/>
      <c r="BE29" s="30"/>
      <c r="BF29" s="30"/>
      <c r="BG29" s="30"/>
      <c r="BH29" s="30"/>
    </row>
    <row r="30" spans="1:60" outlineLevel="1">
      <c r="A30" s="44"/>
      <c r="B30" s="37"/>
      <c r="C30" s="326" t="s">
        <v>1720</v>
      </c>
      <c r="D30" s="327"/>
      <c r="E30" s="328"/>
      <c r="F30" s="329"/>
      <c r="G30" s="377"/>
      <c r="H30" s="271"/>
      <c r="I30" s="271"/>
      <c r="J30" s="271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6" t="str">
        <f>C30</f>
        <v>3 x digitálně ve všech profesesích. Pevně stanovená cena zadavatelem  30 000 Kč bez DPH.</v>
      </c>
      <c r="BB30" s="30"/>
      <c r="BC30" s="30"/>
      <c r="BD30" s="30"/>
      <c r="BE30" s="30"/>
      <c r="BF30" s="30"/>
      <c r="BG30" s="30"/>
      <c r="BH30" s="30"/>
    </row>
    <row r="31" spans="1:60" outlineLevel="1">
      <c r="A31" s="44">
        <v>12</v>
      </c>
      <c r="B31" s="37" t="s">
        <v>1721</v>
      </c>
      <c r="C31" s="49" t="s">
        <v>1722</v>
      </c>
      <c r="D31" s="39" t="s">
        <v>1693</v>
      </c>
      <c r="E31" s="269">
        <v>1</v>
      </c>
      <c r="F31" s="43"/>
      <c r="G31" s="270">
        <f>E31*F31</f>
        <v>0</v>
      </c>
      <c r="H31" s="271"/>
      <c r="I31" s="271"/>
      <c r="J31" s="271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  <c r="BC31" s="30"/>
      <c r="BD31" s="30"/>
      <c r="BE31" s="30"/>
      <c r="BF31" s="30"/>
      <c r="BG31" s="30"/>
      <c r="BH31" s="30"/>
    </row>
    <row r="32" spans="1:60" ht="45.75" outlineLevel="1" thickBot="1">
      <c r="A32" s="273"/>
      <c r="B32" s="274"/>
      <c r="C32" s="378" t="s">
        <v>1723</v>
      </c>
      <c r="D32" s="379"/>
      <c r="E32" s="380"/>
      <c r="F32" s="381"/>
      <c r="G32" s="382"/>
      <c r="H32" s="271"/>
      <c r="I32" s="271"/>
      <c r="J32" s="271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6" t="str">
        <f>C32</f>
        <v>Dodávka, montáž a následná demontáž informační tabule  dle návrho obchodních pomínek. Tabule s identifikačními údaji stavby, (dle zákona č. 183/2006 Sb., stavební zákon, a jeho prováděcího předpisu, obsahující informace o objednateli, zhotoviteli, technickém dozoru investora a koordinátorovi BOZP.</v>
      </c>
      <c r="BB32" s="30"/>
      <c r="BC32" s="30"/>
      <c r="BD32" s="30"/>
      <c r="BE32" s="30"/>
      <c r="BF32" s="30"/>
      <c r="BG32" s="30"/>
      <c r="BH32" s="30"/>
    </row>
    <row r="33" spans="1:38" ht="12.75" customHeight="1">
      <c r="A33" s="1"/>
      <c r="B33" s="8"/>
      <c r="C33" s="9"/>
      <c r="D33" s="1"/>
      <c r="E33" s="265"/>
      <c r="F33" s="1"/>
      <c r="G33" s="276">
        <f>F18+F11+F7</f>
        <v>0</v>
      </c>
      <c r="H33" s="1"/>
      <c r="I33" s="1"/>
      <c r="J33" s="1"/>
      <c r="AK33">
        <f>SUM(AK1:AK32)</f>
        <v>0</v>
      </c>
      <c r="AL33">
        <f>SUM(AL1:AL32)</f>
        <v>0</v>
      </c>
    </row>
    <row r="34" spans="1:38" ht="12.75" customHeight="1">
      <c r="A34" s="1"/>
      <c r="B34" s="8"/>
      <c r="C34" s="9"/>
      <c r="D34" s="1"/>
      <c r="E34" s="265"/>
      <c r="F34" s="1"/>
      <c r="G34" s="1"/>
      <c r="H34" s="1"/>
      <c r="I34" s="1"/>
      <c r="J34" s="1"/>
    </row>
    <row r="35" spans="1:38" ht="12.75" customHeight="1">
      <c r="A35" s="1"/>
      <c r="B35" s="8"/>
      <c r="C35" s="9"/>
      <c r="D35" s="1"/>
      <c r="E35" s="265"/>
      <c r="F35" s="1"/>
      <c r="G35" s="1"/>
      <c r="H35" s="1"/>
      <c r="I35" s="1"/>
      <c r="J35" s="1"/>
    </row>
    <row r="36" spans="1:38" ht="12.75" customHeight="1">
      <c r="A36" s="1"/>
      <c r="B36" s="8"/>
      <c r="C36" s="9"/>
      <c r="D36" s="1"/>
      <c r="E36" s="265"/>
      <c r="F36" s="1"/>
      <c r="G36" s="1"/>
      <c r="H36" s="1"/>
      <c r="I36" s="1"/>
      <c r="J36" s="1"/>
    </row>
    <row r="37" spans="1:38" ht="12.75" customHeight="1">
      <c r="A37" s="1"/>
      <c r="B37" s="8"/>
      <c r="C37" s="9"/>
      <c r="D37" s="1"/>
      <c r="E37" s="265"/>
      <c r="F37" s="1"/>
      <c r="G37" s="1"/>
      <c r="H37" s="1"/>
      <c r="I37" s="1"/>
      <c r="J37" s="1"/>
    </row>
    <row r="38" spans="1:38" ht="12.75" customHeight="1">
      <c r="A38" s="1"/>
      <c r="B38" s="8"/>
      <c r="C38" s="9"/>
      <c r="D38" s="1"/>
      <c r="E38" s="265"/>
      <c r="F38" s="1"/>
      <c r="G38" s="1"/>
      <c r="H38" s="1"/>
      <c r="I38" s="1"/>
      <c r="J38" s="1"/>
    </row>
    <row r="39" spans="1:38" ht="12.75" customHeight="1">
      <c r="A39" s="1"/>
      <c r="B39" s="8"/>
      <c r="C39" s="9"/>
      <c r="D39" s="1"/>
      <c r="E39" s="265"/>
      <c r="F39" s="1"/>
      <c r="G39" s="1"/>
      <c r="H39" s="1"/>
      <c r="I39" s="1"/>
      <c r="J39" s="1"/>
    </row>
    <row r="40" spans="1:38" ht="12.75" customHeight="1">
      <c r="A40" s="1"/>
      <c r="B40" s="8"/>
      <c r="C40" s="9"/>
      <c r="D40" s="1"/>
      <c r="E40" s="265"/>
      <c r="F40" s="1"/>
      <c r="G40" s="1"/>
      <c r="H40" s="1"/>
      <c r="I40" s="1"/>
      <c r="J40" s="1"/>
    </row>
    <row r="41" spans="1:38" ht="12.75" customHeight="1">
      <c r="A41" s="1"/>
      <c r="B41" s="8"/>
      <c r="C41" s="9"/>
      <c r="D41" s="1"/>
      <c r="E41" s="265"/>
      <c r="F41" s="1"/>
      <c r="G41" s="1"/>
      <c r="H41" s="1"/>
      <c r="I41" s="1"/>
      <c r="J41" s="1"/>
    </row>
    <row r="42" spans="1:38" ht="12.75" customHeight="1">
      <c r="A42" s="1"/>
      <c r="B42" s="8"/>
      <c r="C42" s="9"/>
      <c r="D42" s="1"/>
      <c r="E42" s="265"/>
      <c r="F42" s="1"/>
      <c r="G42" s="1"/>
      <c r="H42" s="1"/>
      <c r="I42" s="1"/>
      <c r="J42" s="1"/>
    </row>
    <row r="43" spans="1:38" ht="12.75" customHeight="1">
      <c r="A43" s="1"/>
      <c r="B43" s="8"/>
      <c r="C43" s="9"/>
      <c r="D43" s="1"/>
      <c r="E43" s="265"/>
      <c r="F43" s="1"/>
      <c r="G43" s="1"/>
      <c r="H43" s="1"/>
      <c r="I43" s="1"/>
      <c r="J43" s="1"/>
    </row>
    <row r="44" spans="1:38" ht="12.75" customHeight="1">
      <c r="A44" s="1"/>
      <c r="B44" s="8"/>
      <c r="C44" s="9"/>
      <c r="D44" s="1"/>
      <c r="E44" s="265"/>
      <c r="F44" s="1"/>
      <c r="G44" s="1"/>
      <c r="H44" s="1"/>
      <c r="I44" s="1"/>
      <c r="J44" s="1"/>
    </row>
    <row r="45" spans="1:38" ht="12.75" customHeight="1">
      <c r="A45" s="1"/>
      <c r="B45" s="8"/>
      <c r="C45" s="9"/>
      <c r="D45" s="1"/>
      <c r="E45" s="265"/>
      <c r="F45" s="1"/>
      <c r="G45" s="1"/>
      <c r="H45" s="1"/>
      <c r="I45" s="1"/>
      <c r="J45" s="1"/>
    </row>
    <row r="46" spans="1:38" ht="12.75" customHeight="1">
      <c r="A46" s="1"/>
      <c r="B46" s="8"/>
      <c r="C46" s="9"/>
      <c r="D46" s="1"/>
      <c r="E46" s="265"/>
      <c r="F46" s="1"/>
      <c r="G46" s="1"/>
      <c r="H46" s="1"/>
      <c r="I46" s="1"/>
      <c r="J46" s="1"/>
    </row>
    <row r="47" spans="1:38" ht="12.75" customHeight="1">
      <c r="A47" s="1"/>
      <c r="B47" s="8"/>
      <c r="C47" s="9"/>
      <c r="D47" s="1"/>
      <c r="E47" s="265"/>
      <c r="F47" s="1"/>
      <c r="G47" s="1"/>
      <c r="H47" s="1"/>
      <c r="I47" s="1"/>
      <c r="J47" s="1"/>
    </row>
  </sheetData>
  <mergeCells count="19">
    <mergeCell ref="C32:G32"/>
    <mergeCell ref="C21:G21"/>
    <mergeCell ref="C23:G23"/>
    <mergeCell ref="C25:G25"/>
    <mergeCell ref="C27:G27"/>
    <mergeCell ref="C29:G29"/>
    <mergeCell ref="C30:G30"/>
    <mergeCell ref="F18:G18"/>
    <mergeCell ref="A1:G1"/>
    <mergeCell ref="C2:G2"/>
    <mergeCell ref="C3:G3"/>
    <mergeCell ref="C4:G4"/>
    <mergeCell ref="F7:G7"/>
    <mergeCell ref="C9:G9"/>
    <mergeCell ref="C10:G10"/>
    <mergeCell ref="F11:G11"/>
    <mergeCell ref="C13:G13"/>
    <mergeCell ref="C15:G15"/>
    <mergeCell ref="C17:G17"/>
  </mergeCells>
  <pageMargins left="0.59055118110236227" right="0.39370078740157483" top="0.59055118110236227" bottom="0.98425196850393704" header="0.19685039370078741" footer="0.51181102362204722"/>
  <pageSetup paperSize="9" orientation="portrait" verticalDpi="0" r:id="rId1"/>
  <headerFooter>
    <oddFooter>&amp;R&amp;"Arial,Obyčejné"Strana &amp;P z &amp;N&amp;L&amp;9Zpracováno programem &amp;"Arial CE,Tučné"BUILDpower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8</vt:i4>
      </vt:variant>
    </vt:vector>
  </HeadingPairs>
  <TitlesOfParts>
    <vt:vector size="17" baseType="lpstr">
      <vt:lpstr>VzorPolozky</vt:lpstr>
      <vt:lpstr>RIN</vt:lpstr>
      <vt:lpstr>D1.1</vt:lpstr>
      <vt:lpstr>D.1.4.1</vt:lpstr>
      <vt:lpstr>D.1.4.2</vt:lpstr>
      <vt:lpstr>D.1.4.3</vt:lpstr>
      <vt:lpstr>D.1.4.4</vt:lpstr>
      <vt:lpstr>D.1.4.5</vt:lpstr>
      <vt:lpstr>VON</vt:lpstr>
      <vt:lpstr>D.1.4.5!Excel_BuiltIn_Print_Area_2</vt:lpstr>
      <vt:lpstr>D.1.4.5!Excel_BuiltIn_Print_Area_2_1</vt:lpstr>
      <vt:lpstr>D.1.4.3!Názvy_tisku</vt:lpstr>
      <vt:lpstr>D.1.4.1!Oblast_tisku</vt:lpstr>
      <vt:lpstr>D.1.4.4!Oblast_tisku</vt:lpstr>
      <vt:lpstr>D.1.4.5!Oblast_tisku</vt:lpstr>
      <vt:lpstr>D1.1!Oblast_tisku</vt:lpstr>
      <vt:lpstr>VON!Oblast_tisku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Radim Štěpánek</dc:creator>
  <cp:lastModifiedBy>Windows User</cp:lastModifiedBy>
  <cp:lastPrinted>2018-10-23T10:52:13Z</cp:lastPrinted>
  <dcterms:created xsi:type="dcterms:W3CDTF">2007-08-08T05:50:21Z</dcterms:created>
  <dcterms:modified xsi:type="dcterms:W3CDTF">2019-02-13T15:02:37Z</dcterms:modified>
</cp:coreProperties>
</file>